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echang\Desktop\ถอดรหัส excel\ไฟล์ใส่รหัส\"/>
    </mc:Choice>
  </mc:AlternateContent>
  <xr:revisionPtr revIDLastSave="0" documentId="13_ncr:1_{C903B890-D319-4444-90C6-95933B9C2A7C}" xr6:coauthVersionLast="36" xr6:coauthVersionMax="36" xr10:uidLastSave="{00000000-0000-0000-0000-000000000000}"/>
  <bookViews>
    <workbookView xWindow="0" yWindow="0" windowWidth="20400" windowHeight="7590" tabRatio="833" firstSheet="1" activeTab="1" xr2:uid="{00000000-000D-0000-FFFF-FFFF00000000}"/>
  </bookViews>
  <sheets>
    <sheet name="Sheet1" sheetId="1" state="hidden" r:id="rId1"/>
    <sheet name="คำนวณการยื่น" sheetId="2" r:id="rId2"/>
    <sheet name="เปลี่ยนผ่าน 4 ปี" sheetId="3" r:id="rId3"/>
    <sheet name="เปลี่ยนผ่านลดระยะเวลา 3 ปี (ว4)" sheetId="4" r:id="rId4"/>
    <sheet name="คำนวณ ว21" sheetId="5" r:id="rId5"/>
    <sheet name="PA เต็มรูปแบบ 4 ปี" sheetId="6" r:id="rId6"/>
    <sheet name="PA เต็มรูปแบบลดเหลือ 3 ปี (ว4)" sheetId="7" r:id="rId7"/>
  </sheets>
  <calcPr calcId="191029"/>
  <customWorkbookViews>
    <customWorkbookView name="Sriechang - มุมมองส่วนบุคคล" guid="{D5329DB0-4045-48A1-8C49-4C0C51597FF1}" mergeInterval="0" personalView="1" maximized="1" xWindow="-8" yWindow="-8" windowWidth="1382" windowHeight="736" tabRatio="83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3" i="3"/>
  <c r="C5" i="4" l="1"/>
  <c r="C5" i="3"/>
  <c r="H3" i="7" l="1"/>
  <c r="C8" i="2"/>
  <c r="E9" i="4"/>
  <c r="D6" i="2" l="1"/>
  <c r="D8" i="2" s="1"/>
  <c r="D9" i="4"/>
  <c r="C9" i="4"/>
  <c r="H10" i="4" s="1"/>
  <c r="B9" i="4"/>
  <c r="B10" i="4"/>
  <c r="E14" i="7"/>
  <c r="E13" i="7"/>
  <c r="F13" i="7" s="1"/>
  <c r="G10" i="4" l="1"/>
  <c r="G9" i="4"/>
  <c r="H9" i="4"/>
  <c r="F14" i="7"/>
  <c r="D11" i="7" s="1"/>
  <c r="B10" i="7" s="1"/>
  <c r="A24" i="1"/>
  <c r="D24" i="1"/>
  <c r="A20" i="1"/>
  <c r="D20" i="1"/>
  <c r="A25" i="1"/>
  <c r="F8" i="7" l="1"/>
  <c r="E8" i="7"/>
  <c r="G14" i="7"/>
  <c r="D25" i="1"/>
  <c r="E3" i="1"/>
  <c r="D3" i="1"/>
  <c r="C3" i="1"/>
  <c r="B3" i="1"/>
  <c r="F2" i="1"/>
  <c r="D14" i="1"/>
  <c r="D9" i="1"/>
  <c r="C9" i="2"/>
  <c r="B13" i="2"/>
  <c r="C13" i="2" l="1"/>
  <c r="D13" i="2"/>
  <c r="B14" i="2"/>
  <c r="D9" i="2" s="1"/>
  <c r="F5" i="2" s="1"/>
  <c r="B11" i="7"/>
  <c r="F9" i="7" s="1"/>
  <c r="G13" i="7"/>
  <c r="E10" i="7"/>
  <c r="E11" i="7"/>
  <c r="F10" i="7"/>
  <c r="F11" i="7"/>
  <c r="E2" i="1"/>
  <c r="H3" i="6"/>
  <c r="D2" i="1"/>
  <c r="G13" i="1"/>
  <c r="G8" i="1"/>
  <c r="D6" i="1"/>
  <c r="E9" i="7" l="1"/>
  <c r="E14" i="6"/>
  <c r="E13" i="6"/>
  <c r="F13" i="6" s="1"/>
  <c r="A21" i="1"/>
  <c r="D21" i="1"/>
  <c r="D13" i="1"/>
  <c r="E13" i="1"/>
  <c r="E6" i="1"/>
  <c r="G13" i="5" s="1"/>
  <c r="C6" i="5"/>
  <c r="F14" i="6" l="1"/>
  <c r="G14" i="6" s="1"/>
  <c r="G11" i="5"/>
  <c r="F11" i="5" s="1"/>
  <c r="D6" i="5"/>
  <c r="E6" i="5" s="1"/>
  <c r="F6" i="5" s="1"/>
  <c r="G6" i="5" s="1"/>
  <c r="D11" i="6" l="1"/>
  <c r="B10" i="6" s="1"/>
  <c r="G8" i="6" s="1"/>
  <c r="B11" i="6"/>
  <c r="G13" i="6"/>
  <c r="F13" i="5"/>
  <c r="E11" i="5"/>
  <c r="E13" i="5" s="1"/>
  <c r="C8" i="5"/>
  <c r="D8" i="5" s="1"/>
  <c r="E8" i="5" s="1"/>
  <c r="F8" i="5" s="1"/>
  <c r="G8" i="5" s="1"/>
  <c r="E13" i="2"/>
  <c r="E9" i="3" l="1"/>
  <c r="B9" i="3"/>
  <c r="D9" i="3"/>
  <c r="C9" i="3"/>
  <c r="B10" i="3"/>
  <c r="G11" i="6"/>
  <c r="G9" i="6"/>
  <c r="D11" i="5"/>
  <c r="D13" i="5" s="1"/>
  <c r="E8" i="1"/>
  <c r="D8" i="1"/>
  <c r="H9" i="3" l="1"/>
  <c r="G9" i="3"/>
  <c r="G10" i="3"/>
  <c r="H10" i="3"/>
  <c r="C11" i="5"/>
  <c r="C13" i="5" s="1"/>
  <c r="E8" i="6" l="1"/>
  <c r="F8" i="6"/>
  <c r="G10" i="6"/>
  <c r="F10" i="6" l="1"/>
  <c r="F9" i="6"/>
  <c r="F11" i="6"/>
  <c r="E10" i="6"/>
  <c r="E11" i="6"/>
  <c r="E9" i="6"/>
</calcChain>
</file>

<file path=xl/sharedStrings.xml><?xml version="1.0" encoding="utf-8"?>
<sst xmlns="http://schemas.openxmlformats.org/spreadsheetml/2006/main" count="105" uniqueCount="63">
  <si>
    <t>ปีที่ 1</t>
  </si>
  <si>
    <t>ปีที่ 2</t>
  </si>
  <si>
    <t>ปีที่ 3</t>
  </si>
  <si>
    <t>ปีที่ 4</t>
  </si>
  <si>
    <t>ปีที่ 5</t>
  </si>
  <si>
    <t>ตั้งแต่วันที่</t>
  </si>
  <si>
    <t>ถึงวันที่</t>
  </si>
  <si>
    <t>คุณสมบัติข้อที่ 5</t>
  </si>
  <si>
    <t>ปีการศึกษาที่ 1</t>
  </si>
  <si>
    <t>ปีการศึกษาที่ 2</t>
  </si>
  <si>
    <t>ปีการศึกษาที่ 3</t>
  </si>
  <si>
    <t>ปีการศึกษาที่ 4</t>
  </si>
  <si>
    <t>ปีการศึกษาที่ 5</t>
  </si>
  <si>
    <t>วันที่ดำรงตำแหน่งปัจจุบัน</t>
  </si>
  <si>
    <t>จำนวนปี (เต็ม)</t>
  </si>
  <si>
    <t>ยื่นคำขอปีงบประมาณ
(กรณีช่วงเปลี่ยนผ่าน)</t>
  </si>
  <si>
    <t>ผลตามเกณฑ์เดิมที่นำมาเสนอ (หลักเกณฑ์ใดหลักเกณฑ์หนึ่ง)</t>
  </si>
  <si>
    <t>ผลการพัฒนางานตามข้อตกลง (PA)
ตามหลักเกณฑ์ ว9/2564</t>
  </si>
  <si>
    <t>วุฒิการศึกษา</t>
  </si>
  <si>
    <t>วันที่มีคุณสมบัติครบ</t>
  </si>
  <si>
    <t>ระยะเวลาดำรงตำแหน่ง
ปัจจุบัน (5 ปี)</t>
  </si>
  <si>
    <t>กรณียื่นคำขอ ว 17/2552 (ชำนาญการ)</t>
  </si>
  <si>
    <t>กรณียื่นคำขอ ว 21/2560 (ชำนาญการ/ชำนาญการพิเศษ)</t>
  </si>
  <si>
    <t>ปีการศึกษา
2562</t>
  </si>
  <si>
    <t>ปีการศึกษา
2563</t>
  </si>
  <si>
    <t>กรณีใช้ ว 17 + PA</t>
  </si>
  <si>
    <t xml:space="preserve">สูตรการคำนวณระยะเวลาการดำรงตำแหน่ง/วิทยฐานะ ตำแหน่งครู
เพื่อประกอบการเสนอขอมีและเลื่อนวิทยฐานะ ตามหลักเกณฑ์ PA สำนักงานเขตพื้นที่การศึกษามัธยมศึกษากาฬสินธุ์
</t>
  </si>
  <si>
    <t>วันที่มีคุณสมบัติครบ 4 ปี</t>
  </si>
  <si>
    <t>ยื่นคำขอปีงบประมาณ</t>
  </si>
  <si>
    <t>-</t>
  </si>
  <si>
    <t>ผลการพัฒนางานตามข้อตกลง (PA) ตามหลักเกณฑ์ ว9/2564</t>
  </si>
  <si>
    <t>ปีงบประมาณที่ 1</t>
  </si>
  <si>
    <t>ปีงบประมาณที่ 2</t>
  </si>
  <si>
    <t>ปีงบประมาณที่ 3</t>
  </si>
  <si>
    <t>หมายเหตุ</t>
  </si>
  <si>
    <t>วันที่มีคุณสมบัติครบ 3 ปี</t>
  </si>
  <si>
    <t>ข้อที่</t>
  </si>
  <si>
    <t>คุณสมบัติผู้ขอ</t>
  </si>
  <si>
    <r>
      <t xml:space="preserve">ระยะเวลาการดำรงตำแหน่งและวิทยฐานะปัจจุบัน ไม่น้อยกว่า 5 ปี </t>
    </r>
    <r>
      <rPr>
        <u/>
        <sz val="18"/>
        <color theme="1"/>
        <rFont val="TH SarabunPSK"/>
        <family val="2"/>
      </rPr>
      <t>นับถึงวันที่ยื่นคำขอ</t>
    </r>
  </si>
  <si>
    <r>
      <t xml:space="preserve">มีจำนวนชั่วโมงการปฏิบัติงานสะสมในตำแหน่งหรือวิทยฐานะที่ดำรงอยู่ในปัจจุบัน ย้อนหลังเป็นเวลา 5 ปี </t>
    </r>
    <r>
      <rPr>
        <u/>
        <sz val="18"/>
        <color theme="1"/>
        <rFont val="TH SarabunPSK"/>
        <family val="2"/>
      </rPr>
      <t>นับถึงวันที่ยื่นคำขอ</t>
    </r>
    <r>
      <rPr>
        <sz val="18"/>
        <color theme="1"/>
        <rFont val="TH SarabunPSK"/>
        <family val="2"/>
      </rPr>
      <t xml:space="preserve"> ดังนี้
   1) การขอมีวิทยฐานะครูชำนาญการหรือเลื่อนเป็นวิทยฐานะครูชำนาญการพิเศษ ต้องมีชั่วโมงการปฏิบัติงานในแต่ละปีไม่น้อยกว่า 800 ชั่วโมง โดยในชั่วโมงการปฏิบัติงานต้องมีชั่วโมงการมีส่วนร่วมในชุมชนการเรียนรู้ทางวิชาชีพ ในแต่ละปีไม่น้อยกว่า 50 ชั่วโมง ทั้งนี้ ต้องมีชั่วโมงสอนขั้นต่ำตามที่ ก.ค.ศ. กำหนดด้วย
   2) การขอเลื่อนเป็นวิทยฐานะครูเชี่ยวชาญหรือวิทยฐานะครูเชี่ยวชาญพิเศษ ต้องมีชั่วโมงการปฏิบัติงานในแต่ละปีไม่น้อยกว่า 900 ชั่วโมง โดยในชั่วโมงการปฏิบัติงานต้องมีชั่วโมงการมีส่วนร่วมในชุมชนการเรียนรู้ ทางวิชาชีพ ในแต่ละปีไม่น้อยกว่า 50 ชั่วโมง ทั้งนี้ ต้องมีชั่วโมงสอนขั้นต่ำตามที่ ก.ค.ศ. กำหนดด้วย โดยในช่วงระยะเวลาย้อนหลัง 5 ปี ผู้ขอจะต้องมีชั่วโมงสอน ในวิชา/สาขา/กลุ่มสาระการเรียนรู้ ที่เสนอผลงานทางวิชาการนั้น
</t>
    </r>
  </si>
  <si>
    <r>
      <t xml:space="preserve">มีวินัย คุณธรรม จริยธรรม และจรรยาบรรณวิชาชีพ โดยไม่เคยถูกลงโทษทางวินัย หรือจรรยาบรรณ วิชาชีพ ในช่วงระยะเวลาย้อนหลัง 5 ปี </t>
    </r>
    <r>
      <rPr>
        <u/>
        <sz val="18"/>
        <color theme="1"/>
        <rFont val="TH SarabunPSK"/>
        <family val="2"/>
      </rPr>
      <t>นับถึงวันที่ยื่นคำขอ</t>
    </r>
    <r>
      <rPr>
        <sz val="18"/>
        <color theme="1"/>
        <rFont val="TH SarabunPSK"/>
        <family val="2"/>
      </rPr>
      <t xml:space="preserve"> โดยพิจารณาจากสำเนาแฟ้มประวัติข้าราชการครูและบุคลากรทางการศึกษา (ก.ค.ศ. 16) หรือสำเนาทะเบียนประวัติข้าราชการ (ก.พ. 7) </t>
    </r>
  </si>
  <si>
    <r>
      <t xml:space="preserve">ผ่านการพัฒนา ตามหลักเกณฑ์และวิธีการที่ ก.ค.ศ. กำหนด ในช่วงระยะเวลาย้อนหลัง 5 ปี </t>
    </r>
    <r>
      <rPr>
        <u/>
        <sz val="18"/>
        <color theme="1"/>
        <rFont val="TH SarabunPSK"/>
        <family val="2"/>
      </rPr>
      <t>นับถึงวันที่ยื่นคำขอ</t>
    </r>
  </si>
  <si>
    <t>มีผลงานที่เกิดจากการปฏิบัติหน้าที่ สายงานการสอน ในช่วงระยะเวลาย้อนหลัง 5 ปีการศึกษา ติดต่อกัน นับถึงวันสิ้นปีการศึกษาก่อนวันที่ยื่นคำขอ ซึ่งได้มีการประเมินตามหลักเกณฑ์ ข้อ 5 และมีผลการประเมิน ผ่านเกณฑ์ตามหลักเกณฑ์ ข้อ 6 ไม่น้อยกว่า 3 ปีการศึกษา โดยพิจารณาจากข้อมูลที่บันทึกไว้ในแบบประเมินผลงาน ที่เกิดจากการปฏิบัติหน้าที่ ตำแหน่งครู รายปีการศึกษา (วฐ.2)</t>
  </si>
  <si>
    <r>
      <rPr>
        <b/>
        <u/>
        <sz val="16"/>
        <color rgb="FF002060"/>
        <rFont val="JasmineUPC"/>
        <family val="1"/>
      </rPr>
      <t>แบบ วฐ.1</t>
    </r>
    <r>
      <rPr>
        <sz val="16"/>
        <color rgb="FF002060"/>
        <rFont val="JasmineUPC"/>
        <family val="1"/>
      </rPr>
      <t xml:space="preserve">
คุณสมบัติข้อที่ 1-4
(นับถึงวันที่ยื่นคำขอ)</t>
    </r>
  </si>
  <si>
    <r>
      <rPr>
        <b/>
        <u/>
        <sz val="16"/>
        <color rgb="FF002060"/>
        <rFont val="JasmineUPC"/>
        <family val="1"/>
      </rPr>
      <t>แบบ วฐ.2</t>
    </r>
    <r>
      <rPr>
        <sz val="16"/>
        <color rgb="FF002060"/>
        <rFont val="JasmineUPC"/>
        <family val="1"/>
      </rPr>
      <t xml:space="preserve">
คุณสมบัติข้อที่ 5
(นับถึงวันสิ้นปีการศึกษาก่อนวันที่ยื่นคำขอ)</t>
    </r>
  </si>
  <si>
    <r>
      <t xml:space="preserve">กรณีปกติ
(ไม่น้อยกว่า </t>
    </r>
    <r>
      <rPr>
        <b/>
        <sz val="16"/>
        <color rgb="FF002060"/>
        <rFont val="JasmineUPC"/>
        <family val="1"/>
      </rPr>
      <t>4</t>
    </r>
    <r>
      <rPr>
        <b/>
        <sz val="16"/>
        <color rgb="FF002060"/>
        <rFont val="JasmineUPC"/>
        <family val="1"/>
        <charset val="222"/>
      </rPr>
      <t xml:space="preserve"> ปีติดต่อกัน)</t>
    </r>
  </si>
  <si>
    <r>
      <t xml:space="preserve">ยื่นคำขอต่อ </t>
    </r>
    <r>
      <rPr>
        <b/>
        <u/>
        <sz val="16"/>
        <color rgb="FF002060"/>
        <rFont val="JasmineUPC"/>
        <family val="1"/>
      </rPr>
      <t>ศธจ./กคศ.</t>
    </r>
    <r>
      <rPr>
        <b/>
        <sz val="16"/>
        <color rgb="FF002060"/>
        <rFont val="JasmineUPC"/>
        <family val="1"/>
      </rPr>
      <t xml:space="preserve">
ได้ไม่เกิน</t>
    </r>
  </si>
  <si>
    <t xml:space="preserve">ป.โท  4 ปี </t>
  </si>
  <si>
    <t>วันที่มีคุณสมบัติครบ 5 ปี</t>
  </si>
  <si>
    <t xml:space="preserve">   1) ดำรงตำแหน่ง/วิทยฐานะไม่น้อยกว่า 4 ปีติดต่อกัน
   2) พัฒนางานตามข้อตกลงในตำแหน่ง/วิทยฐานะที่ดำรงอยู่ย้อนหลัง 3 รอบการประเมิน ผ่านเกณฑ์ และมีภาระงานตามที่ ก.ค.ศ.
   3) มีคุณธรรม จริยธรรม จรรยาบรรณวิชาชีพในช่วงระยะเวลาย้อยหลัง 4 ปี
</t>
  </si>
  <si>
    <t>กรณีลดระยะเวลา
(ไม่น้อยกว่า 3 ปีติดต่อกัน)</t>
  </si>
  <si>
    <t xml:space="preserve">   1) ดำรงตำแหน่ง/วิทยฐานะไม่น้อยกว่า 3 ปีติดต่อกัน
   2) พัฒนางานตามข้อตกลงในตำแหน่ง/วิทยฐานะที่ดำรงอยู่ย้อนหลัง 2 รอบการประเมิน ผ่านเกณฑ์ และมีภาระงานตามที่ ก.ค.ศ.
   3) มีคุณธรรม จริยธรรม จรรยาบรรณวิชาชีพในช่วงระยะเวลาย้อนหลัง 3 ปี
</t>
  </si>
  <si>
    <t>วันที่มีคุณสมบัติครบ 4 ปี/
ต้องการยื่นช่วงเปลี่ยนผ่าน</t>
  </si>
  <si>
    <t>วันที่มีคุณสมบัติครบ 3 ปี/
ต้องการยื่นช่วงเปลี่ยนผ่าน</t>
  </si>
  <si>
    <t>ยื่นคำขอได้ไม่เกิน</t>
  </si>
  <si>
    <r>
      <t xml:space="preserve">ด้านที่ 3 หรือ ด้านที่ 3 ส่วนที่ 1 
ตาม ว17/2552 แล้วแต่กรณี
(ปีการศึกษา 2562 และปีการศึกษา 2563)
</t>
    </r>
    <r>
      <rPr>
        <b/>
        <sz val="16"/>
        <color rgb="FFC00000"/>
        <rFont val="JasmineUPC"/>
        <family val="1"/>
      </rPr>
      <t>(ชำนาญการ)</t>
    </r>
  </si>
  <si>
    <r>
      <t xml:space="preserve">ผลงานที่เกิดจากการปฏิบัติหน้าที่
ตาม ว21/2560 (3 ด้าน 13 ตัวชี้วัด)
</t>
    </r>
    <r>
      <rPr>
        <b/>
        <sz val="16"/>
        <color rgb="FFC00000"/>
        <rFont val="JasmineUPC"/>
        <family val="1"/>
      </rPr>
      <t>(ชำนาญการ/ชำนาญการพิเศษ)</t>
    </r>
  </si>
  <si>
    <t>ป.ตรี  6 ปี</t>
  </si>
  <si>
    <t>เพื่อประกอบการเสนอขอมีและเลื่อนวิทยฐานะ ตามหลักเกณฑ์ PA สำนักงานเขตพื้นที่การศึกษามัธยมศึกษามหาสารคาม</t>
  </si>
  <si>
    <t>สูตรการคำนวณระยะเวลาการดำรงตำแหน่ง/วิทยฐานะ ตำแหน่งครู</t>
  </si>
  <si>
    <r>
      <t xml:space="preserve">ด้านที่ 3 หรือ ด้านที่ 3 ส่วนที่ 1 
ตาม ว17/2552 แล้วแต่กรณี
(ปีการศึกษา 2562 และปีการศึกษา 2563)
</t>
    </r>
    <r>
      <rPr>
        <b/>
        <sz val="13"/>
        <color rgb="FFC00000"/>
        <rFont val="JasmineUPC"/>
        <family val="1"/>
        <charset val="222"/>
      </rPr>
      <t>(ชำนาญการ)</t>
    </r>
  </si>
  <si>
    <r>
      <t xml:space="preserve">ผลงานที่เกิดจากการปฏิบัติหน้าที่
ตาม ว21/2560 (3 ด้าน 13 ตัวชี้วัด)
</t>
    </r>
    <r>
      <rPr>
        <b/>
        <sz val="13"/>
        <color rgb="FFC00000"/>
        <rFont val="JasmineUPC"/>
        <family val="1"/>
        <charset val="222"/>
      </rPr>
      <t>(ชำนาญการ/ชำนาญการพิเศษ)</t>
    </r>
  </si>
  <si>
    <t>กรอกวันที่ยื่นคำขอกับ ผอ.สถานศึกษา หรือวันที่มีคุณสมบัติครบถ้วน (กรอกในรูปแบบ "8/1/2564")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</si>
</sst>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87041E]d\ mmmm\ yyyy;@"/>
    <numFmt numFmtId="188" formatCode="[$-187041E]d\ mmm\ yy;@"/>
  </numFmts>
  <fonts count="38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8"/>
      <color rgb="FF002060"/>
      <name val="JasmineUPC"/>
      <family val="1"/>
    </font>
    <font>
      <sz val="16"/>
      <color rgb="FF002060"/>
      <name val="JasmineUPC"/>
      <family val="1"/>
    </font>
    <font>
      <sz val="18"/>
      <color rgb="FF002060"/>
      <name val="JasmineUPC"/>
      <family val="1"/>
    </font>
    <font>
      <b/>
      <sz val="16"/>
      <color rgb="FF002060"/>
      <name val="JasmineUPC"/>
      <family val="1"/>
      <charset val="222"/>
    </font>
    <font>
      <b/>
      <sz val="18"/>
      <color rgb="FF002060"/>
      <name val="JasmineUPC"/>
      <family val="1"/>
      <charset val="222"/>
    </font>
    <font>
      <b/>
      <sz val="20"/>
      <color rgb="FF002060"/>
      <name val="JasmineUPC"/>
      <family val="1"/>
      <charset val="222"/>
    </font>
    <font>
      <sz val="16"/>
      <color rgb="FF002060"/>
      <name val="JasmineUPC"/>
      <family val="1"/>
      <charset val="222"/>
    </font>
    <font>
      <sz val="18"/>
      <color rgb="FF002060"/>
      <name val="JasmineUPC"/>
      <family val="1"/>
      <charset val="222"/>
    </font>
    <font>
      <sz val="16"/>
      <color rgb="FF002060"/>
      <name val="TH SarabunPSK"/>
      <family val="2"/>
      <charset val="222"/>
    </font>
    <font>
      <b/>
      <sz val="18"/>
      <color rgb="FF002060"/>
      <name val="TH SarabunPSK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u/>
      <sz val="18"/>
      <color theme="1"/>
      <name val="TH SarabunPSK"/>
      <family val="2"/>
    </font>
    <font>
      <b/>
      <sz val="16"/>
      <color theme="0"/>
      <name val="JasmineUPC"/>
      <family val="1"/>
      <charset val="222"/>
    </font>
    <font>
      <b/>
      <u/>
      <sz val="16"/>
      <color rgb="FF002060"/>
      <name val="JasmineUPC"/>
      <family val="1"/>
    </font>
    <font>
      <b/>
      <sz val="16"/>
      <color rgb="FF002060"/>
      <name val="JasmineUPC"/>
      <family val="1"/>
    </font>
    <font>
      <b/>
      <sz val="16"/>
      <color theme="1"/>
      <name val="TH SarabunPSK"/>
      <family val="2"/>
      <charset val="222"/>
    </font>
    <font>
      <b/>
      <sz val="16"/>
      <color theme="0"/>
      <name val="JasmineUPC"/>
      <family val="1"/>
    </font>
    <font>
      <b/>
      <sz val="16"/>
      <color rgb="FFFF0000"/>
      <name val="JasmineUPC"/>
      <family val="1"/>
      <charset val="222"/>
    </font>
    <font>
      <sz val="16"/>
      <color theme="0"/>
      <name val="TH SarabunPSK"/>
      <family val="2"/>
      <charset val="222"/>
    </font>
    <font>
      <sz val="16"/>
      <color theme="0"/>
      <name val="JasmineUPC"/>
      <family val="1"/>
      <charset val="222"/>
    </font>
    <font>
      <b/>
      <sz val="18"/>
      <color theme="0"/>
      <name val="JasmineUPC"/>
      <family val="1"/>
      <charset val="222"/>
    </font>
    <font>
      <sz val="18"/>
      <color theme="0"/>
      <name val="JasmineUPC"/>
      <family val="1"/>
      <charset val="222"/>
    </font>
    <font>
      <b/>
      <sz val="24"/>
      <color rgb="FF002060"/>
      <name val="JasmineUPC"/>
      <family val="1"/>
      <charset val="222"/>
    </font>
    <font>
      <b/>
      <sz val="16"/>
      <color rgb="FFC00000"/>
      <name val="JasmineUPC"/>
      <family val="1"/>
    </font>
    <font>
      <sz val="18"/>
      <color rgb="FFFF0000"/>
      <name val="JasmineUPC"/>
      <family val="1"/>
      <charset val="222"/>
    </font>
    <font>
      <sz val="16"/>
      <color rgb="FFFF0000"/>
      <name val="JasmineUPC"/>
      <family val="1"/>
      <charset val="222"/>
    </font>
    <font>
      <b/>
      <sz val="22"/>
      <color rgb="FF002060"/>
      <name val="JasmineUPC"/>
      <family val="1"/>
    </font>
    <font>
      <b/>
      <sz val="14"/>
      <color rgb="FF002060"/>
      <name val="JasmineUPC"/>
      <family val="1"/>
      <charset val="222"/>
    </font>
    <font>
      <b/>
      <sz val="15"/>
      <color rgb="FF002060"/>
      <name val="JasmineUPC"/>
      <family val="1"/>
      <charset val="222"/>
    </font>
    <font>
      <b/>
      <sz val="13"/>
      <color rgb="FF002060"/>
      <name val="JasmineUPC"/>
      <family val="1"/>
      <charset val="222"/>
    </font>
    <font>
      <b/>
      <sz val="12"/>
      <color rgb="FF002060"/>
      <name val="JasmineUPC"/>
      <family val="1"/>
      <charset val="222"/>
    </font>
    <font>
      <b/>
      <sz val="22"/>
      <color theme="5" tint="-0.249977111117893"/>
      <name val="JasmineUPC"/>
      <family val="1"/>
      <charset val="222"/>
    </font>
    <font>
      <b/>
      <sz val="13"/>
      <color rgb="FFC00000"/>
      <name val="JasmineUPC"/>
      <family val="1"/>
      <charset val="222"/>
    </font>
    <font>
      <sz val="14"/>
      <color rgb="FF002060"/>
      <name val="JasmineUPC"/>
      <family val="1"/>
      <charset val="222"/>
    </font>
    <font>
      <sz val="12"/>
      <color rgb="FF002060"/>
      <name val="JasmineUPC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DashDot">
        <color theme="5" tint="-0.24994659260841701"/>
      </left>
      <right style="mediumDashDot">
        <color theme="5" tint="-0.24994659260841701"/>
      </right>
      <top style="mediumDashDot">
        <color theme="5" tint="-0.24994659260841701"/>
      </top>
      <bottom style="mediumDashDot">
        <color theme="5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rgb="FFC00000"/>
      </left>
      <right style="slantDashDot">
        <color theme="5" tint="-0.24994659260841701"/>
      </right>
      <top style="slantDashDot">
        <color theme="5" tint="-0.24994659260841701"/>
      </top>
      <bottom style="slantDashDot">
        <color theme="5" tint="-0.24994659260841701"/>
      </bottom>
      <diagonal/>
    </border>
    <border>
      <left style="mediumDashDotDot">
        <color rgb="FFFF0000"/>
      </left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 style="slantDashDot">
        <color rgb="FFFF0000"/>
      </right>
      <top/>
      <bottom style="slantDashDot">
        <color rgb="FFFF0000"/>
      </bottom>
      <diagonal/>
    </border>
    <border>
      <left style="slantDashDot">
        <color theme="9" tint="-0.499984740745262"/>
      </left>
      <right style="slantDashDot">
        <color theme="9" tint="-0.499984740745262"/>
      </right>
      <top style="slantDashDot">
        <color theme="9" tint="-0.499984740745262"/>
      </top>
      <bottom style="slantDashDot">
        <color theme="9" tint="-0.499984740745262"/>
      </bottom>
      <diagonal/>
    </border>
    <border>
      <left style="slantDashDot">
        <color theme="9" tint="-0.24994659260841701"/>
      </left>
      <right style="slantDashDot">
        <color theme="9" tint="-0.24994659260841701"/>
      </right>
      <top style="slantDashDot">
        <color theme="9" tint="-0.24994659260841701"/>
      </top>
      <bottom style="slantDashDot">
        <color theme="9" tint="-0.24994659260841701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4" fillId="2" borderId="0" xfId="0" applyFont="1" applyFill="1" applyProtection="1">
      <protection hidden="1"/>
    </xf>
    <xf numFmtId="187" fontId="4" fillId="2" borderId="0" xfId="0" applyNumberFormat="1" applyFont="1" applyFill="1" applyProtection="1">
      <protection hidden="1"/>
    </xf>
    <xf numFmtId="187" fontId="2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187" fontId="9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87" fontId="6" fillId="2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9" fillId="2" borderId="0" xfId="0" applyFont="1" applyFill="1" applyProtection="1">
      <protection hidden="1"/>
    </xf>
    <xf numFmtId="0" fontId="9" fillId="2" borderId="0" xfId="0" applyNumberFormat="1" applyFont="1" applyFill="1" applyProtection="1">
      <protection hidden="1"/>
    </xf>
    <xf numFmtId="187" fontId="6" fillId="2" borderId="9" xfId="0" applyNumberFormat="1" applyFont="1" applyFill="1" applyBorder="1" applyAlignment="1" applyProtection="1">
      <alignment horizontal="center" vertical="center" wrapText="1"/>
      <protection hidden="1"/>
    </xf>
    <xf numFmtId="187" fontId="6" fillId="2" borderId="0" xfId="0" applyNumberFormat="1" applyFont="1" applyFill="1" applyAlignment="1" applyProtection="1">
      <alignment vertical="center"/>
      <protection hidden="1"/>
    </xf>
    <xf numFmtId="187" fontId="9" fillId="12" borderId="15" xfId="0" applyNumberFormat="1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187" fontId="6" fillId="2" borderId="0" xfId="0" applyNumberFormat="1" applyFont="1" applyFill="1" applyBorder="1" applyAlignment="1" applyProtection="1">
      <alignment horizontal="center" vertical="center" wrapText="1"/>
      <protection hidden="1"/>
    </xf>
    <xf numFmtId="187" fontId="2" fillId="8" borderId="26" xfId="0" applyNumberFormat="1" applyFont="1" applyFill="1" applyBorder="1" applyAlignment="1" applyProtection="1">
      <alignment horizontal="center" vertical="center"/>
      <protection locked="0"/>
    </xf>
    <xf numFmtId="0" fontId="12" fillId="18" borderId="3" xfId="0" applyFont="1" applyFill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 vertical="top"/>
      <protection hidden="1"/>
    </xf>
    <xf numFmtId="49" fontId="6" fillId="2" borderId="0" xfId="0" applyNumberFormat="1" applyFont="1" applyFill="1" applyAlignment="1" applyProtection="1">
      <alignment horizontal="center" vertical="center"/>
      <protection hidden="1"/>
    </xf>
    <xf numFmtId="187" fontId="8" fillId="2" borderId="0" xfId="0" applyNumberFormat="1" applyFont="1" applyFill="1" applyProtection="1">
      <protection hidden="1"/>
    </xf>
    <xf numFmtId="187" fontId="5" fillId="16" borderId="3" xfId="0" applyNumberFormat="1" applyFont="1" applyFill="1" applyBorder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187" fontId="9" fillId="2" borderId="0" xfId="0" applyNumberFormat="1" applyFont="1" applyFill="1" applyAlignment="1" applyProtection="1">
      <alignment shrinkToFit="1"/>
      <protection hidden="1"/>
    </xf>
    <xf numFmtId="0" fontId="10" fillId="2" borderId="0" xfId="0" applyFont="1" applyFill="1" applyAlignment="1" applyProtection="1">
      <alignment shrinkToFit="1"/>
      <protection hidden="1"/>
    </xf>
    <xf numFmtId="188" fontId="5" fillId="13" borderId="3" xfId="0" applyNumberFormat="1" applyFont="1" applyFill="1" applyBorder="1" applyAlignment="1" applyProtection="1">
      <alignment horizontal="center" shrinkToFit="1"/>
      <protection hidden="1"/>
    </xf>
    <xf numFmtId="187" fontId="15" fillId="2" borderId="0" xfId="0" applyNumberFormat="1" applyFont="1" applyFill="1" applyBorder="1" applyAlignment="1" applyProtection="1">
      <alignment horizontal="center" vertical="center" wrapText="1"/>
      <protection hidden="1"/>
    </xf>
    <xf numFmtId="187" fontId="15" fillId="2" borderId="0" xfId="0" applyNumberFormat="1" applyFont="1" applyFill="1" applyBorder="1" applyAlignment="1" applyProtection="1">
      <alignment horizontal="center" vertical="center"/>
      <protection hidden="1"/>
    </xf>
    <xf numFmtId="187" fontId="17" fillId="2" borderId="0" xfId="0" applyNumberFormat="1" applyFont="1" applyFill="1" applyAlignment="1" applyProtection="1">
      <alignment vertical="center"/>
      <protection hidden="1"/>
    </xf>
    <xf numFmtId="187" fontId="3" fillId="12" borderId="4" xfId="0" applyNumberFormat="1" applyFont="1" applyFill="1" applyBorder="1" applyAlignment="1" applyProtection="1">
      <alignment horizontal="center" vertical="top"/>
      <protection hidden="1"/>
    </xf>
    <xf numFmtId="187" fontId="17" fillId="9" borderId="3" xfId="0" applyNumberFormat="1" applyFont="1" applyFill="1" applyBorder="1" applyAlignment="1" applyProtection="1">
      <alignment horizontal="center" vertical="center" shrinkToFit="1"/>
      <protection hidden="1"/>
    </xf>
    <xf numFmtId="0" fontId="17" fillId="10" borderId="6" xfId="0" applyFont="1" applyFill="1" applyBorder="1" applyAlignment="1" applyProtection="1">
      <alignment horizontal="center" vertical="center" shrinkToFit="1"/>
      <protection hidden="1"/>
    </xf>
    <xf numFmtId="187" fontId="3" fillId="11" borderId="3" xfId="0" applyNumberFormat="1" applyFont="1" applyFill="1" applyBorder="1" applyAlignment="1" applyProtection="1">
      <alignment horizontal="center" vertical="center" shrinkToFit="1"/>
      <protection hidden="1"/>
    </xf>
    <xf numFmtId="187" fontId="3" fillId="11" borderId="3" xfId="0" applyNumberFormat="1" applyFont="1" applyFill="1" applyBorder="1" applyAlignment="1" applyProtection="1">
      <alignment horizontal="center" shrinkToFit="1"/>
      <protection hidden="1"/>
    </xf>
    <xf numFmtId="187" fontId="3" fillId="11" borderId="14" xfId="0" applyNumberFormat="1" applyFont="1" applyFill="1" applyBorder="1" applyAlignment="1" applyProtection="1">
      <alignment horizontal="center" vertical="center" shrinkToFit="1"/>
      <protection hidden="1"/>
    </xf>
    <xf numFmtId="187" fontId="3" fillId="11" borderId="14" xfId="0" applyNumberFormat="1" applyFont="1" applyFill="1" applyBorder="1" applyAlignment="1" applyProtection="1">
      <alignment horizontal="center" shrinkToFit="1"/>
      <protection hidden="1"/>
    </xf>
    <xf numFmtId="187" fontId="3" fillId="12" borderId="15" xfId="0" applyNumberFormat="1" applyFont="1" applyFill="1" applyBorder="1" applyAlignment="1" applyProtection="1">
      <alignment vertical="center" shrinkToFit="1"/>
      <protection hidden="1"/>
    </xf>
    <xf numFmtId="187" fontId="3" fillId="12" borderId="15" xfId="0" applyNumberFormat="1" applyFont="1" applyFill="1" applyBorder="1" applyAlignment="1" applyProtection="1">
      <alignment shrinkToFit="1"/>
      <protection hidden="1"/>
    </xf>
    <xf numFmtId="187" fontId="17" fillId="9" borderId="7" xfId="0" applyNumberFormat="1" applyFont="1" applyFill="1" applyBorder="1" applyAlignment="1" applyProtection="1">
      <alignment horizontal="center" vertical="center" shrinkToFit="1"/>
      <protection hidden="1"/>
    </xf>
    <xf numFmtId="187" fontId="3" fillId="13" borderId="7" xfId="0" applyNumberFormat="1" applyFont="1" applyFill="1" applyBorder="1" applyAlignment="1" applyProtection="1">
      <alignment horizontal="center" vertical="center" shrinkToFit="1"/>
      <protection hidden="1"/>
    </xf>
    <xf numFmtId="187" fontId="3" fillId="13" borderId="3" xfId="0" applyNumberFormat="1" applyFont="1" applyFill="1" applyBorder="1" applyAlignment="1" applyProtection="1">
      <alignment horizontal="center" vertical="center" shrinkToFit="1"/>
      <protection hidden="1"/>
    </xf>
    <xf numFmtId="0" fontId="18" fillId="2" borderId="0" xfId="0" applyFont="1" applyFill="1" applyProtection="1">
      <protection hidden="1"/>
    </xf>
    <xf numFmtId="187" fontId="5" fillId="2" borderId="0" xfId="0" applyNumberFormat="1" applyFont="1" applyFill="1" applyProtection="1">
      <protection hidden="1"/>
    </xf>
    <xf numFmtId="187" fontId="5" fillId="16" borderId="6" xfId="0" applyNumberFormat="1" applyFont="1" applyFill="1" applyBorder="1" applyAlignment="1" applyProtection="1">
      <alignment horizontal="center" vertical="top" wrapText="1"/>
      <protection hidden="1"/>
    </xf>
    <xf numFmtId="0" fontId="5" fillId="5" borderId="10" xfId="0" applyNumberFormat="1" applyFont="1" applyFill="1" applyBorder="1" applyAlignment="1" applyProtection="1">
      <alignment horizontal="center" vertical="center"/>
      <protection hidden="1"/>
    </xf>
    <xf numFmtId="187" fontId="5" fillId="5" borderId="20" xfId="0" applyNumberFormat="1" applyFont="1" applyFill="1" applyBorder="1" applyAlignment="1" applyProtection="1">
      <alignment horizontal="center" vertical="top" shrinkToFit="1"/>
      <protection hidden="1"/>
    </xf>
    <xf numFmtId="187" fontId="5" fillId="5" borderId="13" xfId="0" applyNumberFormat="1" applyFont="1" applyFill="1" applyBorder="1" applyAlignment="1" applyProtection="1">
      <alignment horizontal="center" vertical="top" shrinkToFit="1"/>
      <protection hidden="1"/>
    </xf>
    <xf numFmtId="187" fontId="5" fillId="5" borderId="10" xfId="0" applyNumberFormat="1" applyFont="1" applyFill="1" applyBorder="1" applyAlignment="1" applyProtection="1">
      <alignment horizontal="center" vertical="center" shrinkToFit="1"/>
      <protection hidden="1"/>
    </xf>
    <xf numFmtId="187" fontId="5" fillId="5" borderId="23" xfId="0" applyNumberFormat="1" applyFont="1" applyFill="1" applyBorder="1" applyAlignment="1" applyProtection="1">
      <alignment horizontal="center" vertical="center" shrinkToFit="1"/>
      <protection hidden="1"/>
    </xf>
    <xf numFmtId="187" fontId="5" fillId="5" borderId="23" xfId="0" applyNumberFormat="1" applyFont="1" applyFill="1" applyBorder="1" applyAlignment="1" applyProtection="1">
      <alignment horizontal="center" vertical="top" shrinkToFit="1"/>
      <protection hidden="1"/>
    </xf>
    <xf numFmtId="187" fontId="5" fillId="5" borderId="7" xfId="0" applyNumberFormat="1" applyFont="1" applyFill="1" applyBorder="1" applyAlignment="1" applyProtection="1">
      <alignment horizontal="center" vertical="top" shrinkToFit="1"/>
      <protection hidden="1"/>
    </xf>
    <xf numFmtId="0" fontId="8" fillId="5" borderId="7" xfId="0" applyNumberFormat="1" applyFont="1" applyFill="1" applyBorder="1" applyAlignment="1" applyProtection="1">
      <alignment horizontal="center" vertical="top" shrinkToFit="1"/>
      <protection hidden="1"/>
    </xf>
    <xf numFmtId="0" fontId="8" fillId="5" borderId="6" xfId="0" applyNumberFormat="1" applyFont="1" applyFill="1" applyBorder="1" applyAlignment="1" applyProtection="1">
      <alignment horizontal="center" vertical="top" shrinkToFit="1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49" fontId="5" fillId="2" borderId="0" xfId="0" applyNumberFormat="1" applyFont="1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187" fontId="17" fillId="2" borderId="0" xfId="0" applyNumberFormat="1" applyFont="1" applyFill="1" applyBorder="1" applyAlignment="1" applyProtection="1">
      <alignment horizontal="center" vertical="center"/>
      <protection hidden="1"/>
    </xf>
    <xf numFmtId="187" fontId="3" fillId="2" borderId="0" xfId="0" applyNumberFormat="1" applyFont="1" applyFill="1" applyProtection="1">
      <protection hidden="1"/>
    </xf>
    <xf numFmtId="0" fontId="3" fillId="2" borderId="0" xfId="0" applyNumberFormat="1" applyFont="1" applyFill="1" applyProtection="1">
      <protection hidden="1"/>
    </xf>
    <xf numFmtId="187" fontId="17" fillId="14" borderId="3" xfId="0" applyNumberFormat="1" applyFont="1" applyFill="1" applyBorder="1" applyAlignment="1" applyProtection="1">
      <alignment horizontal="center" vertical="center" wrapText="1"/>
      <protection hidden="1"/>
    </xf>
    <xf numFmtId="187" fontId="19" fillId="2" borderId="0" xfId="0" applyNumberFormat="1" applyFont="1" applyFill="1" applyBorder="1" applyAlignment="1" applyProtection="1">
      <alignment horizontal="center" vertical="center" wrapText="1"/>
      <protection hidden="1"/>
    </xf>
    <xf numFmtId="187" fontId="19" fillId="2" borderId="0" xfId="0" applyNumberFormat="1" applyFont="1" applyFill="1" applyBorder="1" applyAlignment="1" applyProtection="1">
      <alignment horizontal="center" vertical="center"/>
      <protection hidden="1"/>
    </xf>
    <xf numFmtId="187" fontId="17" fillId="15" borderId="3" xfId="0" applyNumberFormat="1" applyFont="1" applyFill="1" applyBorder="1" applyAlignment="1" applyProtection="1">
      <alignment horizontal="center" vertical="center" shrinkToFit="1"/>
      <protection hidden="1"/>
    </xf>
    <xf numFmtId="187" fontId="5" fillId="7" borderId="3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11" xfId="0" applyNumberFormat="1" applyFont="1" applyFill="1" applyBorder="1" applyAlignment="1" applyProtection="1">
      <alignment horizontal="center" vertical="center"/>
      <protection hidden="1"/>
    </xf>
    <xf numFmtId="188" fontId="5" fillId="5" borderId="21" xfId="0" applyNumberFormat="1" applyFont="1" applyFill="1" applyBorder="1" applyAlignment="1" applyProtection="1">
      <alignment vertical="top" shrinkToFit="1"/>
      <protection hidden="1"/>
    </xf>
    <xf numFmtId="0" fontId="0" fillId="2" borderId="0" xfId="0" applyFill="1"/>
    <xf numFmtId="187" fontId="22" fillId="2" borderId="0" xfId="0" applyNumberFormat="1" applyFont="1" applyFill="1" applyProtection="1">
      <protection hidden="1"/>
    </xf>
    <xf numFmtId="0" fontId="23" fillId="2" borderId="0" xfId="0" applyFont="1" applyFill="1" applyAlignment="1" applyProtection="1">
      <alignment horizontal="center" vertical="top" wrapText="1"/>
      <protection hidden="1"/>
    </xf>
    <xf numFmtId="0" fontId="22" fillId="2" borderId="0" xfId="0" applyNumberFormat="1" applyFont="1" applyFill="1" applyProtection="1">
      <protection hidden="1"/>
    </xf>
    <xf numFmtId="0" fontId="22" fillId="2" borderId="0" xfId="0" applyFont="1" applyFill="1" applyProtection="1">
      <protection hidden="1"/>
    </xf>
    <xf numFmtId="0" fontId="24" fillId="2" borderId="0" xfId="0" applyNumberFormat="1" applyFont="1" applyFill="1" applyProtection="1">
      <protection hidden="1"/>
    </xf>
    <xf numFmtId="187" fontId="21" fillId="2" borderId="0" xfId="0" applyNumberFormat="1" applyFont="1" applyFill="1" applyProtection="1">
      <protection hidden="1"/>
    </xf>
    <xf numFmtId="187" fontId="24" fillId="2" borderId="0" xfId="0" applyNumberFormat="1" applyFont="1" applyFill="1" applyProtection="1">
      <protection hidden="1"/>
    </xf>
    <xf numFmtId="187" fontId="23" fillId="2" borderId="0" xfId="0" applyNumberFormat="1" applyFont="1" applyFill="1" applyAlignment="1" applyProtection="1">
      <alignment vertical="center"/>
      <protection hidden="1"/>
    </xf>
    <xf numFmtId="0" fontId="21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4" fillId="2" borderId="0" xfId="0" applyNumberFormat="1" applyFont="1" applyFill="1" applyBorder="1" applyProtection="1">
      <protection hidden="1"/>
    </xf>
    <xf numFmtId="187" fontId="9" fillId="12" borderId="0" xfId="0" applyNumberFormat="1" applyFont="1" applyFill="1" applyBorder="1" applyProtection="1">
      <protection hidden="1"/>
    </xf>
    <xf numFmtId="0" fontId="9" fillId="2" borderId="0" xfId="0" applyNumberFormat="1" applyFont="1" applyFill="1" applyBorder="1" applyProtection="1">
      <protection hidden="1"/>
    </xf>
    <xf numFmtId="187" fontId="24" fillId="12" borderId="0" xfId="0" applyNumberFormat="1" applyFont="1" applyFill="1" applyBorder="1" applyProtection="1">
      <protection hidden="1"/>
    </xf>
    <xf numFmtId="0" fontId="0" fillId="0" borderId="0" xfId="0" applyFill="1"/>
    <xf numFmtId="187" fontId="6" fillId="4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hidden="1"/>
    </xf>
    <xf numFmtId="187" fontId="6" fillId="6" borderId="17" xfId="0" applyNumberFormat="1" applyFont="1" applyFill="1" applyBorder="1" applyAlignment="1" applyProtection="1">
      <alignment horizontal="center" vertical="center" shrinkToFit="1"/>
      <protection hidden="1"/>
    </xf>
    <xf numFmtId="187" fontId="6" fillId="7" borderId="30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Alignment="1" applyProtection="1">
      <alignment horizontal="center" vertical="center" shrinkToFit="1"/>
      <protection hidden="1"/>
    </xf>
    <xf numFmtId="0" fontId="5" fillId="3" borderId="17" xfId="0" applyNumberFormat="1" applyFont="1" applyFill="1" applyBorder="1" applyAlignment="1" applyProtection="1">
      <alignment horizontal="center" vertical="center" shrinkToFit="1"/>
      <protection hidden="1"/>
    </xf>
    <xf numFmtId="187" fontId="5" fillId="7" borderId="30" xfId="0" applyNumberFormat="1" applyFont="1" applyFill="1" applyBorder="1" applyAlignment="1" applyProtection="1">
      <alignment horizontal="center" vertical="center" shrinkToFit="1"/>
      <protection hidden="1"/>
    </xf>
    <xf numFmtId="187" fontId="5" fillId="7" borderId="29" xfId="0" applyNumberFormat="1" applyFont="1" applyFill="1" applyBorder="1" applyAlignment="1" applyProtection="1">
      <alignment horizontal="center" vertical="center" shrinkToFit="1"/>
      <protection hidden="1"/>
    </xf>
    <xf numFmtId="187" fontId="5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5" fillId="6" borderId="3" xfId="0" applyFont="1" applyFill="1" applyBorder="1" applyAlignment="1" applyProtection="1">
      <alignment horizontal="center" vertical="center" shrinkToFit="1"/>
      <protection hidden="1"/>
    </xf>
    <xf numFmtId="0" fontId="5" fillId="7" borderId="3" xfId="0" applyFont="1" applyFill="1" applyBorder="1" applyAlignment="1" applyProtection="1">
      <alignment horizontal="center" vertical="top" shrinkToFit="1"/>
      <protection hidden="1"/>
    </xf>
    <xf numFmtId="187" fontId="17" fillId="14" borderId="3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protection hidden="1"/>
    </xf>
    <xf numFmtId="0" fontId="5" fillId="2" borderId="0" xfId="0" applyNumberFormat="1" applyFont="1" applyFill="1" applyBorder="1" applyAlignment="1" applyProtection="1">
      <alignment horizontal="center"/>
      <protection hidden="1"/>
    </xf>
    <xf numFmtId="187" fontId="5" fillId="6" borderId="17" xfId="0" applyNumberFormat="1" applyFont="1" applyFill="1" applyBorder="1" applyAlignment="1" applyProtection="1">
      <alignment horizontal="center" vertical="center" wrapText="1" shrinkToFit="1"/>
      <protection hidden="1"/>
    </xf>
    <xf numFmtId="187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87" fontId="15" fillId="2" borderId="0" xfId="0" applyNumberFormat="1" applyFont="1" applyFill="1" applyAlignment="1" applyProtection="1">
      <alignment horizontal="center" vertical="center"/>
      <protection hidden="1"/>
    </xf>
    <xf numFmtId="187" fontId="21" fillId="2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Font="1" applyFill="1" applyBorder="1" applyAlignment="1">
      <alignment shrinkToFit="1"/>
    </xf>
    <xf numFmtId="187" fontId="22" fillId="0" borderId="0" xfId="0" applyNumberFormat="1" applyFont="1" applyFill="1" applyBorder="1" applyAlignment="1" applyProtection="1">
      <alignment shrinkToFit="1"/>
      <protection hidden="1"/>
    </xf>
    <xf numFmtId="187" fontId="15" fillId="0" borderId="0" xfId="0" applyNumberFormat="1" applyFont="1" applyFill="1" applyBorder="1" applyAlignment="1" applyProtection="1">
      <alignment shrinkToFit="1"/>
      <protection hidden="1"/>
    </xf>
    <xf numFmtId="0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88" fontId="15" fillId="0" borderId="0" xfId="0" applyNumberFormat="1" applyFont="1" applyFill="1" applyBorder="1" applyAlignment="1" applyProtection="1">
      <alignment horizontal="center" shrinkToFit="1"/>
      <protection hidden="1"/>
    </xf>
    <xf numFmtId="187" fontId="15" fillId="0" borderId="0" xfId="0" applyNumberFormat="1" applyFont="1" applyFill="1" applyBorder="1" applyAlignment="1">
      <alignment horizontal="center" vertical="center" shrinkToFit="1"/>
    </xf>
    <xf numFmtId="187" fontId="15" fillId="0" borderId="0" xfId="0" applyNumberFormat="1" applyFont="1" applyFill="1" applyBorder="1" applyAlignment="1">
      <alignment horizontal="center" vertical="top" shrinkToFit="1"/>
    </xf>
    <xf numFmtId="187" fontId="5" fillId="4" borderId="16" xfId="0" applyNumberFormat="1" applyFont="1" applyFill="1" applyBorder="1" applyAlignment="1" applyProtection="1">
      <alignment horizontal="center" vertical="center" shrinkToFit="1"/>
      <protection hidden="1"/>
    </xf>
    <xf numFmtId="187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187" fontId="27" fillId="2" borderId="0" xfId="0" applyNumberFormat="1" applyFont="1" applyFill="1" applyProtection="1">
      <protection hidden="1"/>
    </xf>
    <xf numFmtId="0" fontId="27" fillId="2" borderId="0" xfId="0" applyNumberFormat="1" applyFont="1" applyFill="1" applyProtection="1">
      <protection hidden="1"/>
    </xf>
    <xf numFmtId="0" fontId="25" fillId="0" borderId="0" xfId="0" applyNumberFormat="1" applyFont="1" applyFill="1" applyBorder="1" applyAlignment="1" applyProtection="1">
      <alignment vertical="center" shrinkToFit="1"/>
      <protection hidden="1"/>
    </xf>
    <xf numFmtId="0" fontId="28" fillId="2" borderId="0" xfId="0" applyFont="1" applyFill="1" applyProtection="1">
      <protection hidden="1"/>
    </xf>
    <xf numFmtId="0" fontId="28" fillId="2" borderId="0" xfId="0" applyNumberFormat="1" applyFont="1" applyFill="1" applyProtection="1"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187" fontId="28" fillId="2" borderId="0" xfId="0" applyNumberFormat="1" applyFont="1" applyFill="1" applyProtection="1">
      <protection hidden="1"/>
    </xf>
    <xf numFmtId="187" fontId="20" fillId="2" borderId="0" xfId="0" applyNumberFormat="1" applyFont="1" applyFill="1" applyBorder="1" applyAlignment="1" applyProtection="1">
      <alignment horizontal="center" vertical="center"/>
      <protection hidden="1"/>
    </xf>
    <xf numFmtId="0" fontId="29" fillId="2" borderId="0" xfId="0" applyFont="1" applyFill="1" applyProtection="1">
      <protection hidden="1"/>
    </xf>
    <xf numFmtId="0" fontId="31" fillId="14" borderId="3" xfId="0" applyFont="1" applyFill="1" applyBorder="1" applyAlignment="1" applyProtection="1">
      <alignment horizontal="center" vertical="center" wrapText="1"/>
      <protection hidden="1"/>
    </xf>
    <xf numFmtId="187" fontId="32" fillId="16" borderId="3" xfId="0" applyNumberFormat="1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 applyProtection="1">
      <alignment horizontal="center" vertical="top" shrinkToFit="1"/>
      <protection hidden="1"/>
    </xf>
    <xf numFmtId="0" fontId="29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4" fillId="0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3" borderId="19" xfId="0" applyNumberFormat="1" applyFont="1" applyFill="1" applyBorder="1" applyAlignment="1" applyProtection="1">
      <alignment horizontal="center" vertical="center"/>
      <protection hidden="1"/>
    </xf>
    <xf numFmtId="0" fontId="5" fillId="3" borderId="20" xfId="0" applyNumberFormat="1" applyFont="1" applyFill="1" applyBorder="1" applyAlignment="1" applyProtection="1">
      <alignment horizontal="center" vertical="center"/>
      <protection hidden="1"/>
    </xf>
    <xf numFmtId="187" fontId="7" fillId="4" borderId="27" xfId="0" applyNumberFormat="1" applyFont="1" applyFill="1" applyBorder="1" applyAlignment="1" applyProtection="1">
      <alignment horizontal="center" vertical="center"/>
      <protection locked="0"/>
    </xf>
    <xf numFmtId="187" fontId="7" fillId="4" borderId="28" xfId="0" applyNumberFormat="1" applyFont="1" applyFill="1" applyBorder="1" applyAlignment="1" applyProtection="1">
      <alignment horizontal="center" vertical="center"/>
      <protection locked="0"/>
    </xf>
    <xf numFmtId="0" fontId="5" fillId="16" borderId="3" xfId="0" applyFont="1" applyFill="1" applyBorder="1" applyAlignment="1" applyProtection="1">
      <alignment horizontal="center" vertical="center" wrapText="1"/>
      <protection hidden="1"/>
    </xf>
    <xf numFmtId="0" fontId="5" fillId="17" borderId="3" xfId="0" applyFont="1" applyFill="1" applyBorder="1" applyAlignment="1" applyProtection="1">
      <alignment horizontal="center" vertical="center"/>
      <protection hidden="1"/>
    </xf>
    <xf numFmtId="0" fontId="37" fillId="5" borderId="6" xfId="0" applyNumberFormat="1" applyFont="1" applyFill="1" applyBorder="1" applyAlignment="1" applyProtection="1">
      <alignment horizontal="center" vertical="center" shrinkToFit="1"/>
      <protection hidden="1"/>
    </xf>
    <xf numFmtId="0" fontId="37" fillId="5" borderId="7" xfId="0" applyNumberFormat="1" applyFont="1" applyFill="1" applyBorder="1" applyAlignment="1" applyProtection="1">
      <alignment horizontal="center" vertical="center" shrinkToFit="1"/>
      <protection hidden="1"/>
    </xf>
    <xf numFmtId="187" fontId="36" fillId="5" borderId="6" xfId="0" applyNumberFormat="1" applyFont="1" applyFill="1" applyBorder="1" applyAlignment="1" applyProtection="1">
      <alignment horizontal="center" vertical="center" shrinkToFit="1"/>
      <protection hidden="1"/>
    </xf>
    <xf numFmtId="187" fontId="36" fillId="5" borderId="7" xfId="0" applyNumberFormat="1" applyFont="1" applyFill="1" applyBorder="1" applyAlignment="1" applyProtection="1">
      <alignment horizontal="center" vertical="center" shrinkToFit="1"/>
      <protection hidden="1"/>
    </xf>
    <xf numFmtId="0" fontId="36" fillId="5" borderId="6" xfId="0" applyNumberFormat="1" applyFont="1" applyFill="1" applyBorder="1" applyAlignment="1" applyProtection="1">
      <alignment horizontal="left" vertical="center" wrapText="1" shrinkToFit="1"/>
      <protection hidden="1"/>
    </xf>
    <xf numFmtId="0" fontId="36" fillId="5" borderId="7" xfId="0" applyNumberFormat="1" applyFont="1" applyFill="1" applyBorder="1" applyAlignment="1" applyProtection="1">
      <alignment horizontal="left" vertical="center" wrapText="1" shrinkToFit="1"/>
      <protection hidden="1"/>
    </xf>
    <xf numFmtId="187" fontId="30" fillId="16" borderId="3" xfId="0" applyNumberFormat="1" applyFont="1" applyFill="1" applyBorder="1" applyAlignment="1" applyProtection="1">
      <alignment horizontal="center" vertical="center" wrapText="1"/>
      <protection hidden="1"/>
    </xf>
    <xf numFmtId="187" fontId="5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5" borderId="6" xfId="0" applyNumberFormat="1" applyFont="1" applyFill="1" applyBorder="1" applyAlignment="1" applyProtection="1">
      <alignment horizontal="center" vertical="center" shrinkToFit="1"/>
      <protection hidden="1"/>
    </xf>
    <xf numFmtId="0" fontId="8" fillId="5" borderId="7" xfId="0" applyNumberFormat="1" applyFont="1" applyFill="1" applyBorder="1" applyAlignment="1" applyProtection="1">
      <alignment horizontal="center" vertical="center" shrinkToFit="1"/>
      <protection hidden="1"/>
    </xf>
    <xf numFmtId="187" fontId="8" fillId="5" borderId="6" xfId="0" applyNumberFormat="1" applyFont="1" applyFill="1" applyBorder="1" applyAlignment="1" applyProtection="1">
      <alignment horizontal="center" vertical="center" shrinkToFit="1"/>
      <protection hidden="1"/>
    </xf>
    <xf numFmtId="187" fontId="8" fillId="5" borderId="7" xfId="0" applyNumberFormat="1" applyFont="1" applyFill="1" applyBorder="1" applyAlignment="1" applyProtection="1">
      <alignment horizontal="center" vertical="center" shrinkToFit="1"/>
      <protection hidden="1"/>
    </xf>
    <xf numFmtId="0" fontId="8" fillId="5" borderId="6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5" borderId="7" xfId="0" applyNumberFormat="1" applyFont="1" applyFill="1" applyBorder="1" applyAlignment="1" applyProtection="1">
      <alignment horizontal="center" vertical="center" wrapText="1" shrinkToFit="1"/>
      <protection hidden="1"/>
    </xf>
    <xf numFmtId="187" fontId="31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left" vertical="top" wrapText="1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12" fillId="18" borderId="3" xfId="0" applyFont="1" applyFill="1" applyBorder="1" applyAlignment="1" applyProtection="1">
      <alignment horizontal="center" vertical="center"/>
      <protection hidden="1"/>
    </xf>
    <xf numFmtId="187" fontId="3" fillId="11" borderId="8" xfId="0" applyNumberFormat="1" applyFont="1" applyFill="1" applyBorder="1" applyAlignment="1" applyProtection="1">
      <alignment horizontal="center" vertical="top" wrapText="1"/>
      <protection hidden="1"/>
    </xf>
    <xf numFmtId="187" fontId="3" fillId="11" borderId="9" xfId="0" applyNumberFormat="1" applyFont="1" applyFill="1" applyBorder="1" applyAlignment="1" applyProtection="1">
      <alignment horizontal="center" vertical="top"/>
      <protection hidden="1"/>
    </xf>
    <xf numFmtId="187" fontId="3" fillId="11" borderId="1" xfId="0" applyNumberFormat="1" applyFont="1" applyFill="1" applyBorder="1" applyAlignment="1" applyProtection="1">
      <alignment horizontal="center" vertical="top"/>
      <protection hidden="1"/>
    </xf>
    <xf numFmtId="187" fontId="3" fillId="11" borderId="0" xfId="0" applyNumberFormat="1" applyFont="1" applyFill="1" applyAlignment="1" applyProtection="1">
      <alignment horizontal="center" vertical="top"/>
      <protection hidden="1"/>
    </xf>
    <xf numFmtId="187" fontId="3" fillId="11" borderId="2" xfId="0" applyNumberFormat="1" applyFont="1" applyFill="1" applyBorder="1" applyAlignment="1" applyProtection="1">
      <alignment horizontal="center" vertical="top"/>
      <protection hidden="1"/>
    </xf>
    <xf numFmtId="187" fontId="3" fillId="11" borderId="5" xfId="0" applyNumberFormat="1" applyFont="1" applyFill="1" applyBorder="1" applyAlignment="1" applyProtection="1">
      <alignment horizontal="center" vertical="top"/>
      <protection hidden="1"/>
    </xf>
    <xf numFmtId="187" fontId="17" fillId="2" borderId="0" xfId="0" applyNumberFormat="1" applyFont="1" applyFill="1" applyAlignment="1" applyProtection="1">
      <alignment horizontal="center" vertical="center"/>
      <protection hidden="1"/>
    </xf>
    <xf numFmtId="187" fontId="17" fillId="2" borderId="10" xfId="0" applyNumberFormat="1" applyFont="1" applyFill="1" applyBorder="1" applyAlignment="1" applyProtection="1">
      <alignment horizontal="center" vertical="center"/>
      <protection hidden="1"/>
    </xf>
    <xf numFmtId="187" fontId="3" fillId="13" borderId="8" xfId="0" applyNumberFormat="1" applyFont="1" applyFill="1" applyBorder="1" applyAlignment="1" applyProtection="1">
      <alignment horizontal="center" vertical="top" wrapText="1"/>
      <protection hidden="1"/>
    </xf>
    <xf numFmtId="187" fontId="3" fillId="13" borderId="11" xfId="0" applyNumberFormat="1" applyFont="1" applyFill="1" applyBorder="1" applyAlignment="1" applyProtection="1">
      <alignment horizontal="center" vertical="top"/>
      <protection hidden="1"/>
    </xf>
    <xf numFmtId="187" fontId="3" fillId="13" borderId="1" xfId="0" applyNumberFormat="1" applyFont="1" applyFill="1" applyBorder="1" applyAlignment="1" applyProtection="1">
      <alignment horizontal="center" vertical="top"/>
      <protection hidden="1"/>
    </xf>
    <xf numFmtId="187" fontId="3" fillId="13" borderId="10" xfId="0" applyNumberFormat="1" applyFont="1" applyFill="1" applyBorder="1" applyAlignment="1" applyProtection="1">
      <alignment horizontal="center" vertical="top"/>
      <protection hidden="1"/>
    </xf>
    <xf numFmtId="187" fontId="3" fillId="13" borderId="12" xfId="0" applyNumberFormat="1" applyFont="1" applyFill="1" applyBorder="1" applyAlignment="1" applyProtection="1">
      <alignment horizontal="center" vertical="top"/>
      <protection hidden="1"/>
    </xf>
    <xf numFmtId="187" fontId="3" fillId="13" borderId="13" xfId="0" applyNumberFormat="1" applyFont="1" applyFill="1" applyBorder="1" applyAlignment="1" applyProtection="1">
      <alignment horizontal="center" vertical="top"/>
      <protection hidden="1"/>
    </xf>
    <xf numFmtId="0" fontId="6" fillId="3" borderId="17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24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18" xfId="0" applyNumberFormat="1" applyFont="1" applyFill="1" applyBorder="1" applyAlignment="1" applyProtection="1">
      <alignment horizontal="center" vertical="center" shrinkToFit="1"/>
      <protection hidden="1"/>
    </xf>
    <xf numFmtId="187" fontId="30" fillId="5" borderId="6" xfId="0" applyNumberFormat="1" applyFont="1" applyFill="1" applyBorder="1" applyAlignment="1" applyProtection="1">
      <alignment horizontal="left" vertical="top" wrapText="1"/>
      <protection hidden="1"/>
    </xf>
    <xf numFmtId="187" fontId="30" fillId="5" borderId="23" xfId="0" applyNumberFormat="1" applyFont="1" applyFill="1" applyBorder="1" applyAlignment="1" applyProtection="1">
      <alignment horizontal="left" vertical="top" wrapText="1"/>
      <protection hidden="1"/>
    </xf>
    <xf numFmtId="187" fontId="30" fillId="5" borderId="7" xfId="0" applyNumberFormat="1" applyFont="1" applyFill="1" applyBorder="1" applyAlignment="1" applyProtection="1">
      <alignment horizontal="left" vertical="top" wrapText="1"/>
      <protection hidden="1"/>
    </xf>
    <xf numFmtId="0" fontId="5" fillId="5" borderId="19" xfId="0" applyNumberFormat="1" applyFont="1" applyFill="1" applyBorder="1" applyAlignment="1" applyProtection="1">
      <alignment horizontal="center" vertical="top" wrapText="1"/>
      <protection hidden="1"/>
    </xf>
    <xf numFmtId="0" fontId="5" fillId="5" borderId="9" xfId="0" applyNumberFormat="1" applyFont="1" applyFill="1" applyBorder="1" applyAlignment="1" applyProtection="1">
      <alignment horizontal="center" vertical="top"/>
      <protection hidden="1"/>
    </xf>
    <xf numFmtId="0" fontId="5" fillId="5" borderId="11" xfId="0" applyNumberFormat="1" applyFont="1" applyFill="1" applyBorder="1" applyAlignment="1" applyProtection="1">
      <alignment horizontal="center" vertical="top"/>
      <protection hidden="1"/>
    </xf>
    <xf numFmtId="0" fontId="5" fillId="5" borderId="22" xfId="0" applyNumberFormat="1" applyFont="1" applyFill="1" applyBorder="1" applyAlignment="1" applyProtection="1">
      <alignment horizontal="center" vertical="top"/>
      <protection hidden="1"/>
    </xf>
    <xf numFmtId="0" fontId="5" fillId="5" borderId="0" xfId="0" applyNumberFormat="1" applyFont="1" applyFill="1" applyBorder="1" applyAlignment="1" applyProtection="1">
      <alignment horizontal="center" vertical="top"/>
      <protection hidden="1"/>
    </xf>
    <xf numFmtId="0" fontId="5" fillId="5" borderId="10" xfId="0" applyNumberFormat="1" applyFont="1" applyFill="1" applyBorder="1" applyAlignment="1" applyProtection="1">
      <alignment horizontal="center" vertical="top"/>
      <protection hidden="1"/>
    </xf>
    <xf numFmtId="187" fontId="5" fillId="16" borderId="6" xfId="0" applyNumberFormat="1" applyFont="1" applyFill="1" applyBorder="1" applyAlignment="1" applyProtection="1">
      <alignment horizontal="center" vertical="center" wrapText="1"/>
      <protection hidden="1"/>
    </xf>
    <xf numFmtId="0" fontId="20" fillId="5" borderId="22" xfId="0" applyNumberFormat="1" applyFont="1" applyFill="1" applyBorder="1" applyAlignment="1" applyProtection="1">
      <alignment horizontal="center" vertical="top"/>
      <protection hidden="1"/>
    </xf>
    <xf numFmtId="0" fontId="20" fillId="5" borderId="0" xfId="0" applyNumberFormat="1" applyFont="1" applyFill="1" applyBorder="1" applyAlignment="1" applyProtection="1">
      <alignment horizontal="center" vertical="top"/>
      <protection hidden="1"/>
    </xf>
    <xf numFmtId="0" fontId="20" fillId="5" borderId="10" xfId="0" applyNumberFormat="1" applyFont="1" applyFill="1" applyBorder="1" applyAlignment="1" applyProtection="1">
      <alignment horizontal="center" vertical="top"/>
      <protection hidden="1"/>
    </xf>
    <xf numFmtId="0" fontId="5" fillId="16" borderId="19" xfId="0" applyFont="1" applyFill="1" applyBorder="1" applyAlignment="1" applyProtection="1">
      <alignment horizontal="center" vertical="center" wrapText="1"/>
      <protection hidden="1"/>
    </xf>
    <xf numFmtId="0" fontId="5" fillId="16" borderId="9" xfId="0" applyFont="1" applyFill="1" applyBorder="1" applyAlignment="1" applyProtection="1">
      <alignment horizontal="center" vertical="center" wrapText="1"/>
      <protection hidden="1"/>
    </xf>
    <xf numFmtId="0" fontId="5" fillId="16" borderId="11" xfId="0" applyFont="1" applyFill="1" applyBorder="1" applyAlignment="1" applyProtection="1">
      <alignment horizontal="center" vertical="center" wrapText="1"/>
      <protection hidden="1"/>
    </xf>
    <xf numFmtId="0" fontId="5" fillId="16" borderId="22" xfId="0" applyFont="1" applyFill="1" applyBorder="1" applyAlignment="1" applyProtection="1">
      <alignment horizontal="center" vertical="center" wrapText="1"/>
      <protection hidden="1"/>
    </xf>
    <xf numFmtId="0" fontId="5" fillId="16" borderId="0" xfId="0" applyFont="1" applyFill="1" applyBorder="1" applyAlignment="1" applyProtection="1">
      <alignment horizontal="center" vertical="center" wrapText="1"/>
      <protection hidden="1"/>
    </xf>
    <xf numFmtId="0" fontId="5" fillId="16" borderId="10" xfId="0" applyFont="1" applyFill="1" applyBorder="1" applyAlignment="1" applyProtection="1">
      <alignment horizontal="center" vertical="center" wrapText="1"/>
      <protection hidden="1"/>
    </xf>
    <xf numFmtId="187" fontId="32" fillId="5" borderId="19" xfId="0" applyNumberFormat="1" applyFont="1" applyFill="1" applyBorder="1" applyAlignment="1" applyProtection="1">
      <alignment horizontal="left" vertical="top" wrapText="1"/>
      <protection hidden="1"/>
    </xf>
    <xf numFmtId="187" fontId="32" fillId="5" borderId="11" xfId="0" applyNumberFormat="1" applyFont="1" applyFill="1" applyBorder="1" applyAlignment="1" applyProtection="1">
      <alignment horizontal="left" vertical="top" wrapText="1"/>
      <protection hidden="1"/>
    </xf>
    <xf numFmtId="187" fontId="32" fillId="5" borderId="22" xfId="0" applyNumberFormat="1" applyFont="1" applyFill="1" applyBorder="1" applyAlignment="1" applyProtection="1">
      <alignment horizontal="left" vertical="top" wrapText="1"/>
      <protection hidden="1"/>
    </xf>
    <xf numFmtId="187" fontId="32" fillId="5" borderId="10" xfId="0" applyNumberFormat="1" applyFont="1" applyFill="1" applyBorder="1" applyAlignment="1" applyProtection="1">
      <alignment horizontal="left" vertical="top" wrapText="1"/>
      <protection hidden="1"/>
    </xf>
    <xf numFmtId="187" fontId="32" fillId="5" borderId="20" xfId="0" applyNumberFormat="1" applyFont="1" applyFill="1" applyBorder="1" applyAlignment="1" applyProtection="1">
      <alignment horizontal="left" vertical="top" wrapText="1"/>
      <protection hidden="1"/>
    </xf>
    <xf numFmtId="187" fontId="32" fillId="5" borderId="13" xfId="0" applyNumberFormat="1" applyFont="1" applyFill="1" applyBorder="1" applyAlignment="1" applyProtection="1">
      <alignment horizontal="left" vertical="top" wrapText="1"/>
      <protection hidden="1"/>
    </xf>
    <xf numFmtId="187" fontId="33" fillId="16" borderId="17" xfId="0" applyNumberFormat="1" applyFont="1" applyFill="1" applyBorder="1" applyAlignment="1" applyProtection="1">
      <alignment horizontal="center" vertical="center" wrapText="1"/>
      <protection hidden="1"/>
    </xf>
    <xf numFmtId="187" fontId="33" fillId="16" borderId="24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ปกติ" xfId="0" builtinId="0"/>
    <cellStyle name="ปกติ 2" xfId="1" xr:uid="{00000000-0005-0000-0000-000001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866772</xdr:colOff>
      <xdr:row>5</xdr:row>
      <xdr:rowOff>95250</xdr:rowOff>
    </xdr:from>
    <xdr:to>
      <xdr:col>7</xdr:col>
      <xdr:colOff>885821</xdr:colOff>
      <xdr:row>13</xdr:row>
      <xdr:rowOff>76200</xdr:rowOff>
    </xdr:to>
    <xdr:pic>
      <xdr:nvPicPr>
        <xdr:cNvPr id="10" name="Picture 2" descr="ภาพประกอบ คุณครูชุดข้าราชการ... - สื่อคุณหนู เพื่อการศึกษา | Facebook">
          <a:extLst>
            <a:ext uri="{FF2B5EF4-FFF2-40B4-BE49-F238E27FC236}">
              <a16:creationId xmlns:a16="http://schemas.microsoft.com/office/drawing/2014/main" id="{1F732E2E-8CE0-49AB-85A1-023ECF8EF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95" t="5960" r="18388" b="6292"/>
        <a:stretch/>
      </xdr:blipFill>
      <xdr:spPr bwMode="auto">
        <a:xfrm flipH="1">
          <a:off x="11268072" y="2000250"/>
          <a:ext cx="1714499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615315</xdr:colOff>
      <xdr:row>2</xdr:row>
      <xdr:rowOff>352426</xdr:rowOff>
    </xdr:from>
    <xdr:to>
      <xdr:col>7</xdr:col>
      <xdr:colOff>523875</xdr:colOff>
      <xdr:row>7</xdr:row>
      <xdr:rowOff>133351</xdr:rowOff>
    </xdr:to>
    <xdr:sp macro="" textlink="">
      <xdr:nvSpPr>
        <xdr:cNvPr id="9" name="ลูกโป่งความคิด: ก้อนเมฆ 8">
          <a:extLst>
            <a:ext uri="{FF2B5EF4-FFF2-40B4-BE49-F238E27FC236}">
              <a16:creationId xmlns:a16="http://schemas.microsoft.com/office/drawing/2014/main" id="{F53AB3DE-8B26-4FF2-978A-B6101C513A6E}"/>
            </a:ext>
          </a:extLst>
        </xdr:cNvPr>
        <xdr:cNvSpPr>
          <a:spLocks/>
        </xdr:cNvSpPr>
      </xdr:nvSpPr>
      <xdr:spPr>
        <a:xfrm flipH="1">
          <a:off x="8521065" y="990601"/>
          <a:ext cx="4099560" cy="1638300"/>
        </a:xfrm>
        <a:prstGeom prst="cloudCallout">
          <a:avLst/>
        </a:prstGeom>
        <a:gradFill>
          <a:gsLst>
            <a:gs pos="58000">
              <a:schemeClr val="accent1">
                <a:lumMod val="5000"/>
                <a:lumOff val="95000"/>
                <a:alpha val="0"/>
              </a:schemeClr>
            </a:gs>
            <a:gs pos="93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317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236220</xdr:colOff>
      <xdr:row>3</xdr:row>
      <xdr:rowOff>129540</xdr:rowOff>
    </xdr:from>
    <xdr:to>
      <xdr:col>4</xdr:col>
      <xdr:colOff>182880</xdr:colOff>
      <xdr:row>5</xdr:row>
      <xdr:rowOff>219075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8D5E92FC-3429-48F3-8517-1D82BCC7DC72}"/>
            </a:ext>
          </a:extLst>
        </xdr:cNvPr>
        <xdr:cNvSpPr txBox="1"/>
      </xdr:nvSpPr>
      <xdr:spPr>
        <a:xfrm>
          <a:off x="5398770" y="1339215"/>
          <a:ext cx="2689860" cy="78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20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กรอกใน</a:t>
          </a:r>
          <a:r>
            <a:rPr lang="th-TH" sz="2000" b="1" i="0" u="none" strike="noStrike" baseline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รูปแบบ </a:t>
          </a:r>
          <a:r>
            <a:rPr lang="en-US" sz="20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r>
            <a:rPr lang="en-US" sz="18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1</a:t>
          </a:r>
          <a:r>
            <a:rPr lang="th-TH" sz="18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2</a:t>
          </a:r>
          <a:r>
            <a:rPr lang="en-US" sz="18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/</a:t>
          </a:r>
          <a:r>
            <a:rPr lang="th-TH" sz="18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1</a:t>
          </a:r>
          <a:r>
            <a:rPr lang="en-US" sz="18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/2564</a:t>
          </a:r>
          <a:r>
            <a:rPr lang="en-US" sz="2000" b="1" i="0" u="none" strike="noStrike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endParaRPr lang="th-TH" sz="20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</xdr:col>
      <xdr:colOff>2667000</xdr:colOff>
      <xdr:row>3</xdr:row>
      <xdr:rowOff>190500</xdr:rowOff>
    </xdr:from>
    <xdr:to>
      <xdr:col>3</xdr:col>
      <xdr:colOff>472440</xdr:colOff>
      <xdr:row>4</xdr:row>
      <xdr:rowOff>272415</xdr:rowOff>
    </xdr:to>
    <xdr:pic>
      <xdr:nvPicPr>
        <xdr:cNvPr id="11" name="กราฟิก 10" descr="ลูกศรบั้ง ด้วยสีเติมแบบทึบ">
          <a:extLst>
            <a:ext uri="{FF2B5EF4-FFF2-40B4-BE49-F238E27FC236}">
              <a16:creationId xmlns:a16="http://schemas.microsoft.com/office/drawing/2014/main" id="{825EF95E-A8C8-49D9-BE2B-FDC7E62FB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151120" y="1021080"/>
          <a:ext cx="480060" cy="358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550546</xdr:colOff>
      <xdr:row>2</xdr:row>
      <xdr:rowOff>3810</xdr:rowOff>
    </xdr:from>
    <xdr:to>
      <xdr:col>4</xdr:col>
      <xdr:colOff>1562101</xdr:colOff>
      <xdr:row>3</xdr:row>
      <xdr:rowOff>171450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70C876F7-90B0-43D9-B748-E631A036718C}"/>
            </a:ext>
          </a:extLst>
        </xdr:cNvPr>
        <xdr:cNvSpPr txBox="1"/>
      </xdr:nvSpPr>
      <xdr:spPr>
        <a:xfrm>
          <a:off x="5760721" y="680085"/>
          <a:ext cx="3535680" cy="529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กรอกใน</a:t>
          </a:r>
          <a:r>
            <a:rPr lang="th-TH" sz="1800" b="1" i="0" u="none" strike="noStrike" baseline="0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 </a:t>
          </a:r>
          <a:r>
            <a:rPr lang="en-US" sz="1800" b="1" i="0" u="none" strike="noStrike" baseline="0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Sheet </a:t>
          </a:r>
          <a:r>
            <a:rPr lang="en-US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r>
            <a:rPr lang="th-TH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คำนวณการยื่น</a:t>
          </a:r>
          <a:r>
            <a:rPr lang="en-US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endParaRPr lang="th-TH" sz="1800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3</xdr:col>
      <xdr:colOff>129540</xdr:colOff>
      <xdr:row>2</xdr:row>
      <xdr:rowOff>68580</xdr:rowOff>
    </xdr:from>
    <xdr:to>
      <xdr:col>3</xdr:col>
      <xdr:colOff>746760</xdr:colOff>
      <xdr:row>2</xdr:row>
      <xdr:rowOff>355117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7723D91-26B1-4E7C-98AD-729F70E4C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1620" y="815340"/>
          <a:ext cx="617220" cy="286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529590</xdr:colOff>
      <xdr:row>2</xdr:row>
      <xdr:rowOff>36195</xdr:rowOff>
    </xdr:from>
    <xdr:to>
      <xdr:col>4</xdr:col>
      <xdr:colOff>1466850</xdr:colOff>
      <xdr:row>4</xdr:row>
      <xdr:rowOff>38100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77B18FE1-6042-4492-89EA-A61BA076E53F}"/>
            </a:ext>
          </a:extLst>
        </xdr:cNvPr>
        <xdr:cNvSpPr txBox="1"/>
      </xdr:nvSpPr>
      <xdr:spPr>
        <a:xfrm>
          <a:off x="5739765" y="712470"/>
          <a:ext cx="3461385" cy="554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กรอกใน</a:t>
          </a:r>
          <a:r>
            <a:rPr lang="th-TH" sz="1800" b="1" i="0" u="none" strike="noStrike" baseline="0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 </a:t>
          </a:r>
          <a:r>
            <a:rPr lang="en-US" sz="1800" b="1" i="0" u="none" strike="noStrike" baseline="0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Sheet </a:t>
          </a:r>
          <a:r>
            <a:rPr lang="en-US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r>
            <a:rPr lang="th-TH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คำนวณการยื่น</a:t>
          </a:r>
          <a:r>
            <a:rPr lang="en-US" sz="1800" b="1" i="0" u="none" strike="noStrike">
              <a:solidFill>
                <a:srgbClr val="00206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endParaRPr lang="th-TH" sz="1800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3</xdr:col>
      <xdr:colOff>91440</xdr:colOff>
      <xdr:row>2</xdr:row>
      <xdr:rowOff>60960</xdr:rowOff>
    </xdr:from>
    <xdr:to>
      <xdr:col>3</xdr:col>
      <xdr:colOff>579120</xdr:colOff>
      <xdr:row>2</xdr:row>
      <xdr:rowOff>347497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B1BA646-C66A-46CE-8234-E777B9D2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3520" y="807720"/>
          <a:ext cx="487680" cy="2865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85726</xdr:rowOff>
    </xdr:from>
    <xdr:to>
      <xdr:col>2</xdr:col>
      <xdr:colOff>1352550</xdr:colOff>
      <xdr:row>2</xdr:row>
      <xdr:rowOff>333375</xdr:rowOff>
    </xdr:to>
    <xdr:sp macro="" textlink="">
      <xdr:nvSpPr>
        <xdr:cNvPr id="2" name="ลูกศร: ซ้าย 1">
          <a:extLst>
            <a:ext uri="{FF2B5EF4-FFF2-40B4-BE49-F238E27FC236}">
              <a16:creationId xmlns:a16="http://schemas.microsoft.com/office/drawing/2014/main" id="{C5BF0A27-8F3D-4F76-956D-17C5F643D41D}"/>
            </a:ext>
          </a:extLst>
        </xdr:cNvPr>
        <xdr:cNvSpPr/>
      </xdr:nvSpPr>
      <xdr:spPr>
        <a:xfrm>
          <a:off x="2941320" y="1327786"/>
          <a:ext cx="1085850" cy="247649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2</xdr:row>
      <xdr:rowOff>68580</xdr:rowOff>
    </xdr:from>
    <xdr:to>
      <xdr:col>5</xdr:col>
      <xdr:colOff>525780</xdr:colOff>
      <xdr:row>2</xdr:row>
      <xdr:rowOff>426720</xdr:rowOff>
    </xdr:to>
    <xdr:pic>
      <xdr:nvPicPr>
        <xdr:cNvPr id="4" name="กราฟิก 3" descr="ลูกศรบั้ง ด้วยสีเติมแบบทึบ">
          <a:extLst>
            <a:ext uri="{FF2B5EF4-FFF2-40B4-BE49-F238E27FC236}">
              <a16:creationId xmlns:a16="http://schemas.microsoft.com/office/drawing/2014/main" id="{67FBE40F-620B-434A-8D2C-DA0BE0614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13960" y="815340"/>
          <a:ext cx="480060" cy="358140"/>
        </a:xfrm>
        <a:prstGeom prst="rect">
          <a:avLst/>
        </a:prstGeom>
      </xdr:spPr>
    </xdr:pic>
    <xdr:clientData/>
  </xdr:twoCellAnchor>
  <xdr:twoCellAnchor>
    <xdr:from>
      <xdr:col>5</xdr:col>
      <xdr:colOff>449580</xdr:colOff>
      <xdr:row>1</xdr:row>
      <xdr:rowOff>380999</xdr:rowOff>
    </xdr:from>
    <xdr:to>
      <xdr:col>5</xdr:col>
      <xdr:colOff>1685925</xdr:colOff>
      <xdr:row>5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1C0C9A7-843C-4D57-9E02-E6FF2852A36A}"/>
            </a:ext>
          </a:extLst>
        </xdr:cNvPr>
        <xdr:cNvSpPr txBox="1"/>
      </xdr:nvSpPr>
      <xdr:spPr>
        <a:xfrm>
          <a:off x="5431155" y="676274"/>
          <a:ext cx="1236345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กรอกใน</a:t>
          </a:r>
          <a:r>
            <a:rPr lang="th-TH" sz="1400" b="1" i="0" baseline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รูปแบบ </a:t>
          </a:r>
          <a:endParaRPr lang="en-US" sz="1400" b="1" i="0" baseline="0">
            <a:solidFill>
              <a:srgbClr val="FF0000"/>
            </a:solidFill>
            <a:effectLst/>
            <a:latin typeface="JasmineUPC" panose="02020603050405020304" pitchFamily="18" charset="-34"/>
            <a:ea typeface="+mn-ea"/>
            <a:cs typeface="JasmineUPC" panose="02020603050405020304" pitchFamily="18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"1/</a:t>
          </a:r>
          <a:r>
            <a:rPr lang="th-TH" sz="14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20</a:t>
          </a:r>
          <a:r>
            <a:rPr lang="en-US" sz="14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/2564</a:t>
          </a:r>
          <a:r>
            <a:rPr lang="en-US" sz="10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endParaRPr lang="th-TH" sz="1000">
            <a:solidFill>
              <a:srgbClr val="FF0000"/>
            </a:solidFill>
            <a:effectLst/>
            <a:latin typeface="JasmineUPC" panose="02020603050405020304" pitchFamily="18" charset="-34"/>
            <a:cs typeface="JasmineUPC" panose="02020603050405020304" pitchFamily="18" charset="-34"/>
          </a:endParaRPr>
        </a:p>
        <a:p>
          <a:endParaRPr lang="th-TH" sz="1050"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2</xdr:row>
      <xdr:rowOff>76200</xdr:rowOff>
    </xdr:from>
    <xdr:to>
      <xdr:col>5</xdr:col>
      <xdr:colOff>487680</xdr:colOff>
      <xdr:row>2</xdr:row>
      <xdr:rowOff>434340</xdr:rowOff>
    </xdr:to>
    <xdr:pic>
      <xdr:nvPicPr>
        <xdr:cNvPr id="4" name="กราฟิก 3" descr="ลูกศรบั้ง ด้วยสีเติมแบบทึบ">
          <a:extLst>
            <a:ext uri="{FF2B5EF4-FFF2-40B4-BE49-F238E27FC236}">
              <a16:creationId xmlns:a16="http://schemas.microsoft.com/office/drawing/2014/main" id="{9A7E18E2-AA1E-4CC6-9934-0F8AE1513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42560" y="822960"/>
          <a:ext cx="480060" cy="358140"/>
        </a:xfrm>
        <a:prstGeom prst="rect">
          <a:avLst/>
        </a:prstGeom>
      </xdr:spPr>
    </xdr:pic>
    <xdr:clientData/>
  </xdr:twoCellAnchor>
  <xdr:twoCellAnchor>
    <xdr:from>
      <xdr:col>5</xdr:col>
      <xdr:colOff>379095</xdr:colOff>
      <xdr:row>1</xdr:row>
      <xdr:rowOff>171451</xdr:rowOff>
    </xdr:from>
    <xdr:to>
      <xdr:col>5</xdr:col>
      <xdr:colOff>1948815</xdr:colOff>
      <xdr:row>4</xdr:row>
      <xdr:rowOff>152401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BE34AF2D-50E8-4327-A789-0211372EA03B}"/>
            </a:ext>
          </a:extLst>
        </xdr:cNvPr>
        <xdr:cNvSpPr txBox="1"/>
      </xdr:nvSpPr>
      <xdr:spPr>
        <a:xfrm>
          <a:off x="5627370" y="466726"/>
          <a:ext cx="156972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กรอกใน</a:t>
          </a:r>
          <a:r>
            <a:rPr lang="th-TH" sz="1600" b="1" i="0" baseline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รูปแบบ </a:t>
          </a:r>
          <a:endParaRPr lang="en-US" sz="1600" b="1" i="0" baseline="0">
            <a:solidFill>
              <a:srgbClr val="FF0000"/>
            </a:solidFill>
            <a:effectLst/>
            <a:latin typeface="JasmineUPC" panose="02020603050405020304" pitchFamily="18" charset="-34"/>
            <a:ea typeface="+mn-ea"/>
            <a:cs typeface="JasmineUPC" panose="02020603050405020304" pitchFamily="18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"1/</a:t>
          </a:r>
          <a:r>
            <a:rPr lang="th-TH" sz="16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10</a:t>
          </a:r>
          <a:r>
            <a:rPr lang="en-US" sz="160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/2564</a:t>
          </a:r>
          <a:r>
            <a:rPr lang="en-US" sz="1050" b="1" i="0">
              <a:solidFill>
                <a:srgbClr val="FF0000"/>
              </a:solidFill>
              <a:effectLst/>
              <a:latin typeface="JasmineUPC" panose="02020603050405020304" pitchFamily="18" charset="-34"/>
              <a:ea typeface="+mn-ea"/>
              <a:cs typeface="JasmineUPC" panose="02020603050405020304" pitchFamily="18" charset="-34"/>
            </a:rPr>
            <a:t>"</a:t>
          </a:r>
          <a:endParaRPr lang="th-TH" sz="1050">
            <a:solidFill>
              <a:srgbClr val="FF0000"/>
            </a:solidFill>
            <a:effectLst/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25"/>
  <sheetViews>
    <sheetView workbookViewId="0">
      <selection activeCell="D4" sqref="D4"/>
    </sheetView>
  </sheetViews>
  <sheetFormatPr defaultColWidth="8.75" defaultRowHeight="21" x14ac:dyDescent="0.35"/>
  <cols>
    <col min="1" max="1" width="20.25" style="108" bestFit="1" customWidth="1"/>
    <col min="2" max="2" width="18.75" style="108" bestFit="1" customWidth="1"/>
    <col min="3" max="3" width="20.25" style="108" bestFit="1" customWidth="1"/>
    <col min="4" max="4" width="22.125" style="108" bestFit="1" customWidth="1"/>
    <col min="5" max="5" width="20.25" style="108" bestFit="1" customWidth="1"/>
    <col min="6" max="7" width="17.125" style="108" bestFit="1" customWidth="1"/>
    <col min="8" max="9" width="15.75" style="108" bestFit="1" customWidth="1"/>
    <col min="10" max="11" width="18.75" style="108" bestFit="1" customWidth="1"/>
    <col min="12" max="16384" width="8.75" style="108"/>
  </cols>
  <sheetData>
    <row r="1" spans="1:11" ht="21.75" x14ac:dyDescent="0.35">
      <c r="A1" s="128" t="s">
        <v>26</v>
      </c>
      <c r="B1" s="128"/>
      <c r="C1" s="128"/>
      <c r="D1" s="128"/>
      <c r="E1" s="128"/>
      <c r="F1" s="128"/>
      <c r="G1" s="128"/>
    </row>
    <row r="2" spans="1:11" ht="21.75" x14ac:dyDescent="0.4">
      <c r="A2" s="109">
        <v>42921</v>
      </c>
      <c r="B2" s="109">
        <v>44834</v>
      </c>
      <c r="C2" s="109">
        <v>44470</v>
      </c>
      <c r="D2" s="110">
        <f>DATE(YEAR(คำนวณการยื่น!C8),MONTH(C2),DAY(1))</f>
        <v>44470</v>
      </c>
      <c r="E2" s="110">
        <f>DATE(YEAR(คำนวณการยื่น!C8)+1,MONTH(B2),DAY(30))</f>
        <v>44834</v>
      </c>
      <c r="F2" s="109">
        <f>DATE(YEAR(คำนวณการยื่น!C4),MONTH(C2),DAY(15))</f>
        <v>43023</v>
      </c>
      <c r="G2" s="109">
        <v>45566</v>
      </c>
      <c r="H2" s="109">
        <v>44835</v>
      </c>
      <c r="I2" s="109">
        <v>45200</v>
      </c>
      <c r="J2" s="109">
        <v>45199</v>
      </c>
      <c r="K2" s="109">
        <v>45565</v>
      </c>
    </row>
    <row r="3" spans="1:11" ht="21.75" x14ac:dyDescent="0.35">
      <c r="A3" s="105" t="s">
        <v>14</v>
      </c>
      <c r="B3" s="111">
        <f>DATEDIF(คำนวณการยื่น!C4,Sheet1!B2,"Y")</f>
        <v>4</v>
      </c>
      <c r="C3" s="105">
        <f>DATE(YEAR(คำนวณการยื่น!C4)+4,MONTH(คำนวณการยื่น!C4),DAY(คำนวณการยื่น!C4))</f>
        <v>44531</v>
      </c>
      <c r="D3" s="105">
        <f>DATE(YEAR(คำนวณการยื่น!C4)+3,MONTH(คำนวณการยื่น!C4),DAY(คำนวณการยื่น!C4))</f>
        <v>44166</v>
      </c>
      <c r="E3" s="105">
        <f>DATE(YEAR(คำนวณการยื่น!C4)+6,MONTH(คำนวณการยื่น!C4),DAY(คำนวณการยื่น!C4))</f>
        <v>45261</v>
      </c>
    </row>
    <row r="4" spans="1:11" x14ac:dyDescent="0.35">
      <c r="A4" s="109">
        <v>44336</v>
      </c>
    </row>
    <row r="5" spans="1:11" x14ac:dyDescent="0.35">
      <c r="A5" s="109">
        <v>43971</v>
      </c>
    </row>
    <row r="6" spans="1:11" ht="21.75" x14ac:dyDescent="0.4">
      <c r="A6" s="109">
        <v>44834</v>
      </c>
      <c r="B6" s="109"/>
      <c r="C6" s="109">
        <v>44332</v>
      </c>
      <c r="D6" s="110">
        <f>DATE(YEAR('คำนวณ ว21'!B3),MONTH(C6),DAY(16))</f>
        <v>44332</v>
      </c>
      <c r="E6" s="109">
        <f>DATE(YEAR('คำนวณ ว21'!B3),MONTH(C6),DAY(15))</f>
        <v>44331</v>
      </c>
    </row>
    <row r="8" spans="1:11" ht="21.75" x14ac:dyDescent="0.4">
      <c r="A8" s="109">
        <v>42921</v>
      </c>
      <c r="B8" s="109">
        <v>44834</v>
      </c>
      <c r="C8" s="109">
        <v>44470</v>
      </c>
      <c r="D8" s="110">
        <f>DATE(YEAR('เปลี่ยนผ่าน 4 ปี'!C5),MONTH(C8),DAY(1))</f>
        <v>44835</v>
      </c>
      <c r="E8" s="110">
        <f>DATE(YEAR('เปลี่ยนผ่าน 4 ปี'!C5)+1,MONTH(B8),DAY(30))</f>
        <v>45199</v>
      </c>
      <c r="F8" s="110"/>
      <c r="G8" s="109">
        <f>DATE(YEAR('เปลี่ยนผ่าน 4 ปี'!C3),MONTH(C8),DAY(15))</f>
        <v>43023</v>
      </c>
      <c r="H8" s="109">
        <v>45566</v>
      </c>
      <c r="I8" s="109">
        <v>44470</v>
      </c>
      <c r="J8" s="109">
        <v>45200</v>
      </c>
    </row>
    <row r="9" spans="1:11" ht="21.75" x14ac:dyDescent="0.35">
      <c r="A9" s="109">
        <v>45199</v>
      </c>
      <c r="B9" s="109">
        <v>45565</v>
      </c>
      <c r="C9" s="105" t="s">
        <v>14</v>
      </c>
      <c r="D9" s="111">
        <f>DATEDIF('เปลี่ยนผ่าน 4 ปี'!C3,Sheet1!B8,"Y")</f>
        <v>4</v>
      </c>
    </row>
    <row r="10" spans="1:11" ht="21.75" x14ac:dyDescent="0.4">
      <c r="A10" s="112">
        <v>43601</v>
      </c>
      <c r="B10" s="112">
        <v>43967</v>
      </c>
    </row>
    <row r="11" spans="1:11" ht="21.75" x14ac:dyDescent="0.4">
      <c r="A11" s="112">
        <v>43966</v>
      </c>
      <c r="B11" s="112">
        <v>44331</v>
      </c>
    </row>
    <row r="13" spans="1:11" ht="21.75" x14ac:dyDescent="0.4">
      <c r="A13" s="109">
        <v>42921</v>
      </c>
      <c r="B13" s="109">
        <v>44834</v>
      </c>
      <c r="C13" s="109">
        <v>44470</v>
      </c>
      <c r="D13" s="110" t="e">
        <f>DATE(YEAR(#REF!),MONTH(C13),DAY(1))</f>
        <v>#REF!</v>
      </c>
      <c r="E13" s="110" t="e">
        <f>DATE(YEAR(#REF!)+1,MONTH(B13),DAY(30))</f>
        <v>#REF!</v>
      </c>
      <c r="F13" s="110"/>
      <c r="G13" s="109" t="e">
        <f>DATE(YEAR(#REF!),MONTH(C13),DAY(15))</f>
        <v>#REF!</v>
      </c>
      <c r="H13" s="109">
        <v>45566</v>
      </c>
      <c r="I13" s="109">
        <v>44835</v>
      </c>
      <c r="J13" s="109">
        <v>45200</v>
      </c>
    </row>
    <row r="14" spans="1:11" ht="21.75" x14ac:dyDescent="0.35">
      <c r="A14" s="109">
        <v>45199</v>
      </c>
      <c r="B14" s="109">
        <v>45565</v>
      </c>
      <c r="C14" s="105" t="s">
        <v>14</v>
      </c>
      <c r="D14" s="111" t="e">
        <f>DATEDIF(#REF!,Sheet1!B13,"Y")</f>
        <v>#REF!</v>
      </c>
    </row>
    <row r="16" spans="1:11" ht="21.75" x14ac:dyDescent="0.4">
      <c r="A16" s="112">
        <v>43601</v>
      </c>
      <c r="B16" s="112">
        <v>43967</v>
      </c>
    </row>
    <row r="17" spans="1:4" ht="21.75" x14ac:dyDescent="0.4">
      <c r="A17" s="112">
        <v>43966</v>
      </c>
      <c r="B17" s="112">
        <v>44331</v>
      </c>
    </row>
    <row r="19" spans="1:4" ht="21.75" x14ac:dyDescent="0.35">
      <c r="A19" s="113">
        <v>44470</v>
      </c>
      <c r="B19" s="113"/>
      <c r="C19" s="113"/>
      <c r="D19" s="113">
        <v>44834</v>
      </c>
    </row>
    <row r="20" spans="1:4" ht="21.75" x14ac:dyDescent="0.35">
      <c r="A20" s="114">
        <f>DATE(YEAR('PA เต็มรูปแบบ 4 ปี'!E3),MONTH(A19),DAY(1))</f>
        <v>44835</v>
      </c>
      <c r="B20" s="114"/>
      <c r="C20" s="114"/>
      <c r="D20" s="114">
        <f>DATE(YEAR('PA เต็มรูปแบบ 4 ปี'!E3)+1,MONTH(D19),DAY(30))</f>
        <v>45199</v>
      </c>
    </row>
    <row r="21" spans="1:4" ht="21.75" x14ac:dyDescent="0.35">
      <c r="A21" s="105">
        <f>DATE(YEAR('PA เต็มรูปแบบ 4 ปี'!H3),MONTH(A19),DAY(1))</f>
        <v>46296</v>
      </c>
      <c r="B21" s="105"/>
      <c r="C21" s="105"/>
      <c r="D21" s="113">
        <f>DATE(YEAR('PA เต็มรูปแบบ 4 ปี'!H3)+1,MONTH(D20),DAY(30))</f>
        <v>46660</v>
      </c>
    </row>
    <row r="23" spans="1:4" ht="21.75" x14ac:dyDescent="0.35">
      <c r="A23" s="113">
        <v>44470</v>
      </c>
      <c r="B23" s="113"/>
      <c r="C23" s="113"/>
      <c r="D23" s="113">
        <v>44834</v>
      </c>
    </row>
    <row r="24" spans="1:4" ht="21.75" x14ac:dyDescent="0.35">
      <c r="A24" s="114" t="e">
        <f>DATE(YEAR(#REF!),MONTH(A23),DAY(1))</f>
        <v>#REF!</v>
      </c>
      <c r="B24" s="114"/>
      <c r="C24" s="114"/>
      <c r="D24" s="114" t="e">
        <f>DATE(YEAR(#REF!)+1,MONTH(D23),DAY(30))</f>
        <v>#REF!</v>
      </c>
    </row>
    <row r="25" spans="1:4" ht="21.75" x14ac:dyDescent="0.35">
      <c r="A25" s="105" t="e">
        <f>DATE(YEAR(#REF!),MONTH(A23),DAY(1))</f>
        <v>#REF!</v>
      </c>
      <c r="B25" s="105"/>
      <c r="C25" s="105"/>
      <c r="D25" s="113" t="e">
        <f>DATE(YEAR(#REF!)+1,MONTH(D24),DAY(30))</f>
        <v>#REF!</v>
      </c>
    </row>
  </sheetData>
  <customSheetViews>
    <customSheetView guid="{D5329DB0-4045-48A1-8C49-4C0C51597FF1}" fitToPage="1" state="hidden">
      <selection activeCell="D4" sqref="D4"/>
      <pageMargins left="0.11811023622047245" right="0.11811023622047245" top="0.74803149606299213" bottom="0.74803149606299213" header="0.31496062992125984" footer="0.31496062992125984"/>
      <printOptions horizontalCentered="1" headings="1"/>
      <pageSetup paperSize="9" scale="67" fitToHeight="0" orientation="landscape" horizontalDpi="300" verticalDpi="300" r:id="rId1"/>
    </customSheetView>
  </customSheetViews>
  <mergeCells count="1">
    <mergeCell ref="A1:G1"/>
  </mergeCells>
  <conditionalFormatting sqref="A4:A5">
    <cfRule type="expression" dxfId="16" priority="1">
      <formula>#REF!&gt;=5</formula>
    </cfRule>
  </conditionalFormatting>
  <printOptions horizontalCentered="1" headings="1"/>
  <pageMargins left="0.11811023622047245" right="0.11811023622047245" top="0.74803149606299213" bottom="0.74803149606299213" header="0.31496062992125984" footer="0.31496062992125984"/>
  <pageSetup paperSize="9" scale="67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18"/>
  <sheetViews>
    <sheetView showGridLines="0" showRowColHeaders="0" tabSelected="1" workbookViewId="0">
      <selection activeCell="A2" sqref="A2:H2"/>
    </sheetView>
  </sheetViews>
  <sheetFormatPr defaultColWidth="8.75" defaultRowHeight="24" x14ac:dyDescent="0.4"/>
  <cols>
    <col min="1" max="1" width="2.375" style="10" customWidth="1"/>
    <col min="2" max="2" width="30.25" style="11" customWidth="1"/>
    <col min="3" max="3" width="35.125" style="10" customWidth="1"/>
    <col min="4" max="4" width="36" style="10" customWidth="1"/>
    <col min="5" max="5" width="10.625" style="5" customWidth="1"/>
    <col min="6" max="6" width="22.125" style="5" customWidth="1"/>
    <col min="7" max="7" width="22.25" style="11" customWidth="1"/>
    <col min="8" max="9" width="18.75" style="4" bestFit="1" customWidth="1"/>
    <col min="10" max="16384" width="8.75" style="4"/>
  </cols>
  <sheetData>
    <row r="1" spans="1:8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8" s="125" customFormat="1" ht="30" x14ac:dyDescent="0.55000000000000004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8" s="101" customFormat="1" ht="45" customHeight="1" thickBot="1" x14ac:dyDescent="0.45">
      <c r="A3" s="10"/>
      <c r="B3" s="4"/>
      <c r="C3" s="4"/>
      <c r="D3" s="4"/>
      <c r="E3" s="4"/>
      <c r="F3" s="4"/>
      <c r="G3" s="4"/>
      <c r="H3" s="4"/>
    </row>
    <row r="4" spans="1:8" s="28" customFormat="1" ht="22.15" customHeight="1" x14ac:dyDescent="0.35">
      <c r="A4" s="7"/>
      <c r="B4" s="132" t="s">
        <v>13</v>
      </c>
      <c r="C4" s="134">
        <v>43070</v>
      </c>
      <c r="D4" s="60"/>
      <c r="E4" s="7"/>
      <c r="F4" s="119"/>
      <c r="G4" s="7"/>
      <c r="H4" s="7"/>
    </row>
    <row r="5" spans="1:8" ht="33.75" thickBot="1" x14ac:dyDescent="0.4">
      <c r="A5" s="7"/>
      <c r="B5" s="133"/>
      <c r="C5" s="135"/>
      <c r="D5" s="7"/>
      <c r="E5" s="119"/>
      <c r="F5" s="131" t="str">
        <f>IF(AND(Sheet1!C3&gt;=Sheet1!G2,Sheet1!D3&gt;=Sheet1!G2),"เข้าสู่ระบบ PA เต็มรูปแบบ",IF(AND(Sheet1!C3&gt;=Sheet1!G2,Sheet1!D3&lt;=Sheet1!G2),"PA + (กรณีลดระยะเวลา 3 ปี)",IF(AND(OR(D8=Sheet1!B2,D9=Sheet1!B2,C13=Sheet1!B2),Sheet1!C3&lt;=C14),"ยื่นเกณฑ์เดิมได้ 1 ครั้ง/แล้วแต่กรณี"," ว17+PA หรือ ว21+PA")))</f>
        <v>ยื่นเกณฑ์เดิมได้ 1 ครั้ง/แล้วแต่กรณี</v>
      </c>
      <c r="G5" s="131"/>
      <c r="H5" s="7"/>
    </row>
    <row r="6" spans="1:8" ht="21.75" x14ac:dyDescent="0.4">
      <c r="A6" s="101"/>
      <c r="B6" s="102" t="s">
        <v>21</v>
      </c>
      <c r="C6" s="101"/>
      <c r="D6" s="106">
        <f>DATE(YEAR(C8)+1,MONTH(C8),DAY(C8)-1)</f>
        <v>44895</v>
      </c>
      <c r="E6" s="102"/>
      <c r="F6" s="131"/>
      <c r="G6" s="131"/>
      <c r="H6" s="103"/>
    </row>
    <row r="7" spans="1:8" ht="25.5" customHeight="1" x14ac:dyDescent="0.35">
      <c r="A7" s="28"/>
      <c r="B7" s="97" t="s">
        <v>18</v>
      </c>
      <c r="C7" s="97" t="s">
        <v>19</v>
      </c>
      <c r="D7" s="98" t="s">
        <v>54</v>
      </c>
      <c r="E7" s="28"/>
      <c r="F7" s="28"/>
      <c r="G7" s="28"/>
      <c r="H7" s="28"/>
    </row>
    <row r="8" spans="1:8" s="26" customFormat="1" ht="24.75" customHeight="1" x14ac:dyDescent="0.35">
      <c r="A8" s="4"/>
      <c r="B8" s="99" t="s">
        <v>47</v>
      </c>
      <c r="C8" s="70">
        <f>DATE(YEAR(C4)+4,MONTH(C4),DAY(C4))</f>
        <v>44531</v>
      </c>
      <c r="D8" s="70">
        <f>IF(AND(C8&gt;C15,C8&lt;=C14),B15,IF(C8&gt;C15,"เกินระยะเวลาที่ ก.ค.ศ. กำหนด",D6))</f>
        <v>44834</v>
      </c>
      <c r="E8" s="116"/>
      <c r="F8" s="120"/>
      <c r="G8" s="4"/>
      <c r="H8" s="4"/>
    </row>
    <row r="9" spans="1:8" s="26" customFormat="1" ht="21.75" x14ac:dyDescent="0.35">
      <c r="A9" s="4"/>
      <c r="B9" s="99" t="s">
        <v>57</v>
      </c>
      <c r="C9" s="70">
        <f>DATE(YEAR(C4)+6,MONTH(C4),DAY(C4))</f>
        <v>45261</v>
      </c>
      <c r="D9" s="70" t="str">
        <f>IF(AND(C9&gt;C15,C9&lt;=C14),B15,IF(C9&gt;C15,"เกินระยะเวลาที่ ก.ค.ศ. กำหนด",B14))</f>
        <v>เกินระยะเวลาที่ ก.ค.ศ. กำหนด</v>
      </c>
      <c r="E9" s="116"/>
      <c r="F9" s="121"/>
      <c r="G9" s="4"/>
      <c r="H9" s="4"/>
    </row>
    <row r="10" spans="1:8" s="26" customFormat="1" x14ac:dyDescent="0.4">
      <c r="A10" s="10"/>
      <c r="B10" s="11"/>
      <c r="C10" s="10"/>
      <c r="D10" s="10"/>
      <c r="E10" s="118"/>
      <c r="F10" s="117"/>
      <c r="G10" s="11"/>
      <c r="H10" s="4"/>
    </row>
    <row r="11" spans="1:8" ht="21.75" x14ac:dyDescent="0.35">
      <c r="A11" s="26"/>
      <c r="B11" s="62" t="s">
        <v>22</v>
      </c>
      <c r="C11" s="63"/>
      <c r="D11" s="26"/>
      <c r="E11" s="122"/>
      <c r="F11" s="123"/>
      <c r="G11" s="65"/>
      <c r="H11" s="26"/>
    </row>
    <row r="12" spans="1:8" ht="43.5" x14ac:dyDescent="0.35">
      <c r="A12" s="26"/>
      <c r="B12" s="100" t="s">
        <v>48</v>
      </c>
      <c r="C12" s="66" t="s">
        <v>46</v>
      </c>
      <c r="D12" s="67" t="s">
        <v>20</v>
      </c>
      <c r="E12" s="26"/>
      <c r="F12" s="123"/>
      <c r="G12" s="65"/>
      <c r="H12" s="26"/>
    </row>
    <row r="13" spans="1:8" ht="21.75" x14ac:dyDescent="0.35">
      <c r="A13" s="26"/>
      <c r="B13" s="69">
        <f>DATE(YEAR(C4)+5,MONTH(C4),DAY(C4))</f>
        <v>44896</v>
      </c>
      <c r="C13" s="69" t="str">
        <f>IF(B13&lt;=Sheet1!B2,Sheet1!B2,"เกินระยะเวลาที่ ก.ค.ศ. กำหนด")</f>
        <v>เกินระยะเวลาที่ ก.ค.ศ. กำหนด</v>
      </c>
      <c r="D13" s="68" t="str">
        <f>IFERROR(DATEDIF(C4,B13,"Y")&amp;" "&amp;"ปี"&amp;" "&amp;DATEDIF(C4,B13,"YM")&amp;" "&amp;"เดือน"&amp;" "&amp;DATEDIF(C4,B13,"MD")+1&amp;" "&amp;"วัน","-")</f>
        <v>5 ปี 0 เดือน 1 วัน</v>
      </c>
      <c r="E13" s="68" t="str">
        <f>IFERROR(DATEDIF(C4,C9,"Y")&amp;" "&amp;"ปี"&amp;" "&amp;DATEDIF(C4,C9,"YM")&amp;" "&amp;"เดือน"&amp;" "&amp;DATEDIF(C4,C9,"MD")+1&amp;" "&amp;"วัน","-")</f>
        <v>6 ปี 0 เดือน 1 วัน</v>
      </c>
      <c r="F13" s="64"/>
      <c r="G13" s="65"/>
      <c r="H13" s="26"/>
    </row>
    <row r="14" spans="1:8" x14ac:dyDescent="0.4">
      <c r="B14" s="107">
        <f>DATE(YEAR(C9)+1,MONTH(C9),DAY(C9)-1)</f>
        <v>45626</v>
      </c>
      <c r="C14" s="106">
        <v>44835</v>
      </c>
      <c r="D14" s="5"/>
    </row>
    <row r="15" spans="1:8" x14ac:dyDescent="0.4">
      <c r="B15" s="105">
        <v>44834</v>
      </c>
      <c r="C15" s="105">
        <v>44470</v>
      </c>
    </row>
    <row r="16" spans="1:8" x14ac:dyDescent="0.4">
      <c r="C16" s="88"/>
    </row>
    <row r="18" spans="3:3" x14ac:dyDescent="0.4">
      <c r="C18" s="124"/>
    </row>
  </sheetData>
  <sheetProtection algorithmName="SHA-512" hashValue="5UDC7Y2lz5cheL1yVyCYQsaWOJ+pc+j2LU88c9v33vz9N0hi/ztL0+8e08EU/8sxapEA7rWF4YcG4t8ERbgK2w==" saltValue="x+4WmQBstxDwdlCSDY92wQ==" spinCount="100000" sheet="1" objects="1" scenarios="1"/>
  <customSheetViews>
    <customSheetView guid="{D5329DB0-4045-48A1-8C49-4C0C51597FF1}" showGridLines="0" showRowCol="0" fitToPage="1">
      <selection sqref="A1:H1"/>
      <pageMargins left="0.51181102362204722" right="0.11811023622047245" top="0.74803149606299213" bottom="0.74803149606299213" header="0.31496062992125984" footer="0.31496062992125984"/>
      <printOptions horizontalCentered="1"/>
      <pageSetup scale="72" fitToHeight="0" orientation="landscape" horizontalDpi="1200" verticalDpi="1200" r:id="rId1"/>
    </customSheetView>
  </customSheetViews>
  <mergeCells count="5">
    <mergeCell ref="A1:G1"/>
    <mergeCell ref="A2:H2"/>
    <mergeCell ref="F5:G6"/>
    <mergeCell ref="B4:B5"/>
    <mergeCell ref="C4:C5"/>
  </mergeCells>
  <conditionalFormatting sqref="E8">
    <cfRule type="expression" dxfId="15" priority="21">
      <formula>$E$8="เกินระยะเวลาที่ ก.ค.ศ. กำหนด"</formula>
    </cfRule>
  </conditionalFormatting>
  <conditionalFormatting sqref="E9">
    <cfRule type="expression" dxfId="14" priority="20">
      <formula>$E$9="เกินระยะเวลาที่ ก.ค.ศ. กำหนด"</formula>
    </cfRule>
  </conditionalFormatting>
  <conditionalFormatting sqref="E13">
    <cfRule type="expression" dxfId="13" priority="19">
      <formula>$E$13="-"</formula>
    </cfRule>
  </conditionalFormatting>
  <conditionalFormatting sqref="C18 D13">
    <cfRule type="expression" dxfId="12" priority="18">
      <formula>$C$18="-"</formula>
    </cfRule>
  </conditionalFormatting>
  <conditionalFormatting sqref="C13">
    <cfRule type="expression" dxfId="11" priority="11">
      <formula>$C$13="เกินระยะเวลาที่ ก.ค.ศ. กำหนด"</formula>
    </cfRule>
    <cfRule type="expression" dxfId="10" priority="13">
      <formula>$C$8="ไม่มีคุณสมบัติ"</formula>
    </cfRule>
  </conditionalFormatting>
  <conditionalFormatting sqref="C8">
    <cfRule type="expression" dxfId="9" priority="37">
      <formula>$C$8="ไม่มีคุณสมบัติ"</formula>
    </cfRule>
  </conditionalFormatting>
  <conditionalFormatting sqref="C9">
    <cfRule type="expression" dxfId="8" priority="39">
      <formula>C9="ไม่มีคุณสมบัติ"</formula>
    </cfRule>
  </conditionalFormatting>
  <conditionalFormatting sqref="D8">
    <cfRule type="expression" dxfId="7" priority="41">
      <formula>$C$8="ไม่มีคุณสมบัติ"</formula>
    </cfRule>
  </conditionalFormatting>
  <conditionalFormatting sqref="D9">
    <cfRule type="expression" dxfId="6" priority="43">
      <formula>D9="ไม่มีคุณสมบัติ"</formula>
    </cfRule>
  </conditionalFormatting>
  <conditionalFormatting sqref="C8">
    <cfRule type="expression" dxfId="5" priority="45">
      <formula>$C$8&gt;$C$14</formula>
    </cfRule>
  </conditionalFormatting>
  <conditionalFormatting sqref="C9">
    <cfRule type="expression" dxfId="4" priority="46">
      <formula>$C$9&gt;$C$14</formula>
    </cfRule>
  </conditionalFormatting>
  <conditionalFormatting sqref="E5 F4:F5">
    <cfRule type="expression" dxfId="3" priority="47">
      <formula>$F$5="เข้าสู่ระบบ PA เต็มรูปแบบ"</formula>
    </cfRule>
  </conditionalFormatting>
  <printOptions horizontalCentered="1"/>
  <pageMargins left="0.51181102362204722" right="0.11811023622047245" top="0.74803149606299213" bottom="0.74803149606299213" header="0.31496062992125984" footer="0.31496062992125984"/>
  <pageSetup scale="72" fitToHeight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00000000-000E-0000-0100-000004000000}">
            <xm:f>$D$8&gt;Sheet1!$B$2</xm:f>
            <x14:dxf>
              <font>
                <b/>
                <i val="0"/>
                <color rgb="FFFF0000"/>
              </font>
            </x14:dxf>
          </x14:cfRule>
          <xm:sqref>D8</xm:sqref>
        </x14:conditionalFormatting>
        <x14:conditionalFormatting xmlns:xm="http://schemas.microsoft.com/office/excel/2006/main">
          <x14:cfRule type="expression" priority="42" id="{00000000-000E-0000-0100-000003000000}">
            <xm:f>$D$9&gt;Sheet1!$B$2</xm:f>
            <x14:dxf>
              <font>
                <b/>
                <i val="0"/>
                <color rgb="FFFF0000"/>
              </font>
            </x14:dxf>
          </x14:cfRule>
          <xm:sqref>D9</xm:sqref>
        </x14:conditionalFormatting>
        <x14:conditionalFormatting xmlns:xm="http://schemas.microsoft.com/office/excel/2006/main">
          <x14:cfRule type="expression" priority="44" id="{00000000-000E-0000-0100-000005000000}">
            <xm:f>$B$13&gt;Sheet1!$B$2</xm:f>
            <x14:dxf>
              <font>
                <b/>
                <i val="0"/>
                <color rgb="FFFF0000"/>
              </font>
            </x14:dxf>
          </x14:cfRule>
          <xm:sqref>B13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H25"/>
  <sheetViews>
    <sheetView showGridLines="0" showRowColHeaders="0" workbookViewId="0">
      <selection sqref="A1:G1"/>
    </sheetView>
  </sheetViews>
  <sheetFormatPr defaultColWidth="8.75" defaultRowHeight="24" x14ac:dyDescent="0.4"/>
  <cols>
    <col min="1" max="1" width="3.125" style="10" customWidth="1"/>
    <col min="2" max="2" width="26.875" style="11" customWidth="1"/>
    <col min="3" max="3" width="38.375" style="10" customWidth="1"/>
    <col min="4" max="4" width="33.125" style="10" customWidth="1"/>
    <col min="5" max="5" width="32.5" style="5" customWidth="1"/>
    <col min="6" max="6" width="2.375" style="5" customWidth="1"/>
    <col min="7" max="7" width="13.25" style="5" customWidth="1"/>
    <col min="8" max="8" width="14.5" style="11" customWidth="1"/>
    <col min="9" max="10" width="18.75" style="4" bestFit="1" customWidth="1"/>
    <col min="11" max="16384" width="8.75" style="4"/>
  </cols>
  <sheetData>
    <row r="1" spans="1:8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8" s="125" customFormat="1" ht="30" customHeight="1" thickBot="1" x14ac:dyDescent="0.6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8" s="7" customFormat="1" ht="28.5" customHeight="1" thickBot="1" x14ac:dyDescent="0.4">
      <c r="B3" s="94" t="s">
        <v>13</v>
      </c>
      <c r="C3" s="115">
        <f>คำนวณการยื่น!C4</f>
        <v>43070</v>
      </c>
      <c r="D3" s="60"/>
      <c r="E3" s="15"/>
      <c r="F3" s="15"/>
      <c r="G3" s="15"/>
    </row>
    <row r="4" spans="1:8" s="7" customFormat="1" ht="15" customHeight="1" thickBot="1" x14ac:dyDescent="0.4">
      <c r="B4" s="93"/>
      <c r="C4" s="93"/>
      <c r="D4" s="61"/>
      <c r="E4" s="15"/>
      <c r="F4" s="15"/>
      <c r="G4" s="15"/>
    </row>
    <row r="5" spans="1:8" s="28" customFormat="1" ht="39.75" customHeight="1" thickBot="1" x14ac:dyDescent="0.4">
      <c r="B5" s="104" t="s">
        <v>52</v>
      </c>
      <c r="C5" s="96">
        <f>IF(C3&lt;=D5,E5,DATE(YEAR(C3)+4,MONTH(C3),DAY(C3)))</f>
        <v>44835</v>
      </c>
      <c r="D5" s="33">
        <v>43374</v>
      </c>
      <c r="E5" s="34">
        <v>44835</v>
      </c>
      <c r="F5" s="15"/>
    </row>
    <row r="6" spans="1:8" s="9" customFormat="1" ht="12" customHeight="1" x14ac:dyDescent="0.35">
      <c r="B6" s="12"/>
      <c r="C6" s="8"/>
      <c r="D6" s="16"/>
      <c r="E6" s="8"/>
      <c r="F6" s="15"/>
    </row>
    <row r="7" spans="1:8" s="28" customFormat="1" ht="32.450000000000003" customHeight="1" x14ac:dyDescent="0.35">
      <c r="B7" s="136" t="s">
        <v>15</v>
      </c>
      <c r="C7" s="144" t="s">
        <v>16</v>
      </c>
      <c r="D7" s="144"/>
      <c r="E7" s="145" t="s">
        <v>17</v>
      </c>
      <c r="F7" s="15"/>
      <c r="G7" s="137" t="s">
        <v>25</v>
      </c>
      <c r="H7" s="137"/>
    </row>
    <row r="8" spans="1:8" s="22" customFormat="1" ht="89.25" customHeight="1" x14ac:dyDescent="0.35">
      <c r="B8" s="136"/>
      <c r="C8" s="127" t="s">
        <v>60</v>
      </c>
      <c r="D8" s="127" t="s">
        <v>61</v>
      </c>
      <c r="E8" s="145"/>
      <c r="F8" s="15"/>
      <c r="G8" s="29" t="s">
        <v>23</v>
      </c>
      <c r="H8" s="29" t="s">
        <v>24</v>
      </c>
    </row>
    <row r="9" spans="1:8" s="30" customFormat="1" ht="24.6" customHeight="1" x14ac:dyDescent="0.4">
      <c r="B9" s="59" t="str">
        <f>IF(AND(C5&gt;=Sheet1!H2,C5&lt;=Sheet1!A9),"2566",IF(AND(C5&gt;=Sheet1!I2,C5&lt;=Sheet1!B14),"2567",IF(C5&gt;=Sheet1!B14,"2568 เป็นต้นไป","")))</f>
        <v>2566</v>
      </c>
      <c r="C9" s="138" t="str">
        <f>IF(AND(C5&gt;=Sheet1!H2,C5&lt;=Sheet1!B9),"เปรียบเทียบ 2 ปีการศึกษาที่ผ่านเกณฑ์","")</f>
        <v>เปรียบเทียบ 2 ปีการศึกษาที่ผ่านเกณฑ์</v>
      </c>
      <c r="D9" s="140" t="str">
        <f>IF(AND(C5&gt;=Sheet1!H2,C5&lt;=Sheet1!A9),"2 ปีการศึกษาที่ผ่านเกณฑ์",IF(AND(C5&gt;=Sheet1!I2,C5&lt;=Sheet1!B9),"1 ปีการศึกษาที่ผ่านเกณฑ์",""))</f>
        <v>2 ปีการศึกษาที่ผ่านเกณฑ์</v>
      </c>
      <c r="E9" s="142" t="str">
        <f>IF(AND(C5&gt;=Sheet1!H2,C5&lt;=Sheet1!A9),"รอบแรก (1 ต.ค. 64 - 30 ก.ย. 65)",IF(AND(C5&gt;=Sheet1!I2,C5&lt;=Sheet1!B9),"รอบที่ 1 (1 ต.ค. 64 - 30 ก.ย. 65)
รอบที่ 2 (1 ต.ค. 65 - 30 ก.ย. 66)",IF(C5&gt;=Sheet1!H8,"ครบ 3 รอบการประเมิน","")))</f>
        <v>รอบแรก (1 ต.ค. 64 - 30 ก.ย. 65)</v>
      </c>
      <c r="F9" s="31"/>
      <c r="G9" s="32">
        <f>IF(C9="เปรียบเทียบ 2 ปีการศึกษาที่ผ่านเกณฑ์",Sheet1!A10,"")</f>
        <v>43601</v>
      </c>
      <c r="H9" s="32">
        <f>IF(C9="เปรียบเทียบ 2 ปีการศึกษาที่ผ่านเกณฑ์",Sheet1!B10,"")</f>
        <v>43967</v>
      </c>
    </row>
    <row r="10" spans="1:8" s="30" customFormat="1" x14ac:dyDescent="0.4">
      <c r="B10" s="58" t="str">
        <f>IF(AND(C5&gt;=Sheet1!H2,C5&lt;=Sheet1!A9),"(1 ต.ค. 65 - 30 ก.ย. 66)",IF(AND(C5&gt;=Sheet1!I2,C5&lt;=Sheet1!B14),"(1 ต.ค. 66 - 30 ก.ย. 67)",IF(C5&gt;=Sheet1!B14,"1 ต.ค. 67 เป็นต้นไป","")))</f>
        <v>(1 ต.ค. 65 - 30 ก.ย. 66)</v>
      </c>
      <c r="C10" s="139"/>
      <c r="D10" s="141"/>
      <c r="E10" s="143"/>
      <c r="F10" s="31"/>
      <c r="G10" s="32">
        <f>IF(C9="เปรียบเทียบ 2 ปีการศึกษาที่ผ่านเกณฑ์",Sheet1!A11,"")</f>
        <v>43966</v>
      </c>
      <c r="H10" s="32">
        <f>IF(C9="เปรียบเทียบ 2 ปีการศึกษาที่ผ่านเกณฑ์",Sheet1!B11,"")</f>
        <v>44331</v>
      </c>
    </row>
    <row r="11" spans="1:8" s="22" customFormat="1" ht="14.45" customHeight="1" x14ac:dyDescent="0.35">
      <c r="B11" s="24"/>
      <c r="C11" s="25"/>
    </row>
    <row r="12" spans="1:8" x14ac:dyDescent="0.4">
      <c r="A12" s="4"/>
      <c r="B12" s="15"/>
      <c r="C12" s="15"/>
      <c r="D12" s="4"/>
      <c r="E12" s="4"/>
      <c r="F12" s="4"/>
    </row>
    <row r="13" spans="1:8" ht="24.75" x14ac:dyDescent="0.4">
      <c r="A13" s="13"/>
      <c r="B13" s="15"/>
      <c r="C13" s="15"/>
    </row>
    <row r="14" spans="1:8" x14ac:dyDescent="0.4">
      <c r="A14" s="4"/>
      <c r="B14" s="15"/>
      <c r="C14" s="15"/>
    </row>
    <row r="15" spans="1:8" ht="23.25" customHeight="1" x14ac:dyDescent="0.4">
      <c r="A15" s="4"/>
      <c r="B15" s="15"/>
      <c r="C15" s="15"/>
    </row>
    <row r="16" spans="1:8" x14ac:dyDescent="0.4">
      <c r="A16" s="4"/>
    </row>
    <row r="17" spans="2:8" s="4" customFormat="1" x14ac:dyDescent="0.4">
      <c r="B17" s="11"/>
      <c r="C17" s="10"/>
      <c r="D17" s="10"/>
      <c r="E17" s="5"/>
      <c r="F17" s="5"/>
      <c r="G17" s="5"/>
      <c r="H17" s="73"/>
    </row>
    <row r="18" spans="2:8" s="4" customFormat="1" ht="17.25" customHeight="1" x14ac:dyDescent="0.4">
      <c r="B18" s="11"/>
      <c r="C18" s="10"/>
      <c r="D18" s="10"/>
      <c r="E18" s="5"/>
      <c r="F18" s="5"/>
      <c r="G18" s="5"/>
      <c r="H18" s="73"/>
    </row>
    <row r="19" spans="2:8" s="4" customFormat="1" x14ac:dyDescent="0.4">
      <c r="B19" s="11"/>
      <c r="C19" s="10"/>
      <c r="D19" s="10"/>
      <c r="E19" s="5"/>
      <c r="F19" s="5"/>
      <c r="G19" s="5"/>
      <c r="H19" s="73"/>
    </row>
    <row r="20" spans="2:8" s="4" customFormat="1" ht="23.25" customHeight="1" x14ac:dyDescent="0.4">
      <c r="B20" s="11"/>
      <c r="C20" s="10"/>
      <c r="D20" s="10"/>
      <c r="E20" s="5"/>
      <c r="F20" s="5"/>
      <c r="G20" s="5"/>
      <c r="H20" s="11"/>
    </row>
    <row r="21" spans="2:8" s="4" customFormat="1" x14ac:dyDescent="0.4">
      <c r="B21" s="11"/>
      <c r="C21" s="10"/>
      <c r="D21" s="10"/>
      <c r="E21" s="5"/>
      <c r="F21" s="5"/>
      <c r="G21" s="5"/>
      <c r="H21" s="11"/>
    </row>
    <row r="22" spans="2:8" s="4" customFormat="1" x14ac:dyDescent="0.4">
      <c r="B22" s="11"/>
      <c r="C22" s="10"/>
      <c r="D22" s="10"/>
      <c r="E22" s="5"/>
      <c r="F22" s="5"/>
      <c r="G22" s="5"/>
      <c r="H22" s="11"/>
    </row>
    <row r="23" spans="2:8" s="4" customFormat="1" x14ac:dyDescent="0.4">
      <c r="B23" s="11"/>
      <c r="C23" s="10"/>
      <c r="D23" s="10"/>
      <c r="E23" s="5"/>
      <c r="F23" s="5"/>
      <c r="G23" s="5"/>
      <c r="H23" s="11"/>
    </row>
    <row r="24" spans="2:8" s="4" customFormat="1" x14ac:dyDescent="0.4">
      <c r="B24" s="11"/>
      <c r="C24" s="10"/>
      <c r="D24" s="10"/>
      <c r="E24" s="5"/>
      <c r="F24" s="5"/>
      <c r="G24" s="5"/>
      <c r="H24" s="11"/>
    </row>
    <row r="25" spans="2:8" s="4" customFormat="1" x14ac:dyDescent="0.4">
      <c r="B25" s="11"/>
      <c r="C25" s="10"/>
      <c r="D25" s="10"/>
      <c r="E25" s="5"/>
      <c r="F25" s="5"/>
      <c r="G25" s="5"/>
      <c r="H25" s="11"/>
    </row>
  </sheetData>
  <sheetProtection algorithmName="SHA-512" hashValue="wZU9JN3WTDMq7amYZkeb0/DfD7ffwZN99mq8Dkw/W2X+PhS5lQMfME7N9kLM8QMPKiK3HvfG0C+7/ozzey7xqA==" saltValue="KqgUNImz4lTZRJZCTXRg1w==" spinCount="100000" sheet="1" objects="1" scenarios="1"/>
  <customSheetViews>
    <customSheetView guid="{D5329DB0-4045-48A1-8C49-4C0C51597FF1}" showGridLines="0" showRowCol="0" fitToPage="1">
      <selection activeCell="E12" sqref="E12"/>
      <pageMargins left="0.51181102362204722" right="0.11811023622047245" top="0.74803149606299213" bottom="0.74803149606299213" header="0.31496062992125984" footer="0.31496062992125984"/>
      <printOptions horizontalCentered="1"/>
      <pageSetup scale="78" fitToHeight="0" orientation="landscape" horizontalDpi="1200" verticalDpi="1200" r:id="rId1"/>
    </customSheetView>
  </customSheetViews>
  <mergeCells count="9">
    <mergeCell ref="B7:B8"/>
    <mergeCell ref="G7:H7"/>
    <mergeCell ref="A1:G1"/>
    <mergeCell ref="A2:H2"/>
    <mergeCell ref="C9:C10"/>
    <mergeCell ref="D9:D10"/>
    <mergeCell ref="E9:E10"/>
    <mergeCell ref="C7:D7"/>
    <mergeCell ref="E7:E8"/>
  </mergeCells>
  <printOptions horizontalCentered="1"/>
  <pageMargins left="0.51181102362204722" right="0.11811023622047245" top="0.74803149606299213" bottom="0.74803149606299213" header="0.31496062992125984" footer="0.31496062992125984"/>
  <pageSetup scale="78" fitToHeight="0" orientation="landscape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H25"/>
  <sheetViews>
    <sheetView showGridLines="0" showRowColHeaders="0" topLeftCell="A4" workbookViewId="0">
      <selection activeCell="A2" sqref="A2:H2"/>
    </sheetView>
  </sheetViews>
  <sheetFormatPr defaultColWidth="8.75" defaultRowHeight="24" x14ac:dyDescent="0.4"/>
  <cols>
    <col min="1" max="1" width="3.125" style="10" customWidth="1"/>
    <col min="2" max="2" width="26.875" style="11" customWidth="1"/>
    <col min="3" max="3" width="38.375" style="10" customWidth="1"/>
    <col min="4" max="4" width="33.125" style="10" customWidth="1"/>
    <col min="5" max="5" width="32.125" style="5" customWidth="1"/>
    <col min="6" max="6" width="2.375" style="5" customWidth="1"/>
    <col min="7" max="7" width="13.25" style="5" customWidth="1"/>
    <col min="8" max="8" width="14.5" style="11" customWidth="1"/>
    <col min="9" max="10" width="18.75" style="4" bestFit="1" customWidth="1"/>
    <col min="11" max="16384" width="8.75" style="4"/>
  </cols>
  <sheetData>
    <row r="1" spans="1:8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8" s="125" customFormat="1" ht="30" customHeight="1" thickBot="1" x14ac:dyDescent="0.6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8" s="7" customFormat="1" ht="28.5" customHeight="1" thickBot="1" x14ac:dyDescent="0.4">
      <c r="B3" s="94" t="s">
        <v>13</v>
      </c>
      <c r="C3" s="115">
        <f>คำนวณการยื่น!C4</f>
        <v>43070</v>
      </c>
      <c r="D3" s="60"/>
      <c r="E3" s="15"/>
      <c r="F3" s="15"/>
      <c r="G3" s="15"/>
    </row>
    <row r="4" spans="1:8" s="7" customFormat="1" ht="15" customHeight="1" thickBot="1" x14ac:dyDescent="0.4">
      <c r="B4" s="93"/>
      <c r="C4" s="93"/>
      <c r="D4" s="61"/>
      <c r="E4" s="15"/>
      <c r="F4" s="15"/>
      <c r="G4" s="15"/>
    </row>
    <row r="5" spans="1:8" s="28" customFormat="1" ht="41.25" customHeight="1" thickBot="1" x14ac:dyDescent="0.4">
      <c r="B5" s="104" t="s">
        <v>53</v>
      </c>
      <c r="C5" s="95">
        <f>IF(C3&lt;=D5,E5,DATE(YEAR(C3)+3,MONTH(C3),DAY(C3)))</f>
        <v>44835</v>
      </c>
      <c r="D5" s="33">
        <v>43739</v>
      </c>
      <c r="E5" s="34">
        <v>44835</v>
      </c>
      <c r="F5" s="15"/>
    </row>
    <row r="6" spans="1:8" s="9" customFormat="1" ht="12" customHeight="1" x14ac:dyDescent="0.35">
      <c r="B6" s="12"/>
      <c r="C6" s="8"/>
      <c r="D6" s="16"/>
      <c r="E6" s="8"/>
      <c r="F6" s="15"/>
    </row>
    <row r="7" spans="1:8" s="28" customFormat="1" ht="32.450000000000003" customHeight="1" x14ac:dyDescent="0.35">
      <c r="B7" s="136" t="s">
        <v>15</v>
      </c>
      <c r="C7" s="152" t="s">
        <v>16</v>
      </c>
      <c r="D7" s="152"/>
      <c r="E7" s="145" t="s">
        <v>17</v>
      </c>
      <c r="F7" s="15"/>
      <c r="G7" s="137" t="s">
        <v>25</v>
      </c>
      <c r="H7" s="137"/>
    </row>
    <row r="8" spans="1:8" s="22" customFormat="1" ht="87.75" customHeight="1" x14ac:dyDescent="0.35">
      <c r="B8" s="136"/>
      <c r="C8" s="23" t="s">
        <v>55</v>
      </c>
      <c r="D8" s="23" t="s">
        <v>56</v>
      </c>
      <c r="E8" s="145"/>
      <c r="F8" s="15"/>
      <c r="G8" s="126" t="s">
        <v>23</v>
      </c>
      <c r="H8" s="29" t="s">
        <v>24</v>
      </c>
    </row>
    <row r="9" spans="1:8" s="30" customFormat="1" ht="24.6" customHeight="1" x14ac:dyDescent="0.4">
      <c r="B9" s="59" t="str">
        <f>IF(AND(C5&gt;=Sheet1!H2,C5&lt;=Sheet1!A9),"2566",IF(AND(C5&gt;=Sheet1!I2,C5&lt;=Sheet1!B14),"2567",IF(C5&gt;=Sheet1!B14,"2568 เป็นต้นไป","")))</f>
        <v>2566</v>
      </c>
      <c r="C9" s="146" t="str">
        <f>IF(AND(C5&gt;=Sheet1!H2,C5&lt;=Sheet1!B9),"เปรียบเทียบ 2 ปีการศึกษาที่ผ่านเกณฑ์","")</f>
        <v>เปรียบเทียบ 2 ปีการศึกษาที่ผ่านเกณฑ์</v>
      </c>
      <c r="D9" s="148" t="str">
        <f>IF(AND(C5&gt;=Sheet1!H2,C5&lt;=Sheet1!A9),"2 ปีการศึกษาที่ผ่านเกณฑ์",IF(AND(C5&gt;=Sheet1!I2,C5&lt;=Sheet1!B9),"1 ปีการศึกษาที่ผ่านเกณฑ์",""))</f>
        <v>2 ปีการศึกษาที่ผ่านเกณฑ์</v>
      </c>
      <c r="E9" s="150" t="str">
        <f>IF(AND(C5&gt;=Sheet1!H2,C5&lt;=Sheet1!A9),"รอบแรก (1 ต.ค. 64 - 30 ก.ย. 65)",IF(AND(C5&gt;=Sheet1!I2,C5&lt;=Sheet1!B9),"รอบที่ 1 (1 ต.ค. 64 - 30 ก.ย. 65)
รอบที่ 2 (1 ต.ค. 65 - 30 ก.ย. 66)",IF(C5&gt;=Sheet1!H8,"ครบ 3 รอบการประเมิน","")))</f>
        <v>รอบแรก (1 ต.ค. 64 - 30 ก.ย. 65)</v>
      </c>
      <c r="F9" s="31"/>
      <c r="G9" s="32">
        <f>IF(C9="เปรียบเทียบ 2 ปีการศึกษาที่ผ่านเกณฑ์",Sheet1!A10,"")</f>
        <v>43601</v>
      </c>
      <c r="H9" s="32">
        <f>IF(C9="เปรียบเทียบ 2 ปีการศึกษาที่ผ่านเกณฑ์",Sheet1!B10,"")</f>
        <v>43967</v>
      </c>
    </row>
    <row r="10" spans="1:8" s="30" customFormat="1" x14ac:dyDescent="0.4">
      <c r="B10" s="58" t="str">
        <f>IF(AND(C5&gt;=Sheet1!H2,C5&lt;=Sheet1!A9),"(1 ต.ค. 65 - 30 ก.ย. 66)",IF(AND(C5&gt;=Sheet1!I2,C5&lt;=Sheet1!B14),"(1 ต.ค. 66 - 30 ก.ย. 67)",IF(C5&gt;=Sheet1!B14,"1 ต.ค. 67 เป็นต้นไป","")))</f>
        <v>(1 ต.ค. 65 - 30 ก.ย. 66)</v>
      </c>
      <c r="C10" s="147"/>
      <c r="D10" s="149"/>
      <c r="E10" s="151"/>
      <c r="F10" s="31"/>
      <c r="G10" s="32">
        <f>IF(C9="เปรียบเทียบ 2 ปีการศึกษาที่ผ่านเกณฑ์",Sheet1!A11,"")</f>
        <v>43966</v>
      </c>
      <c r="H10" s="32">
        <f>IF(C9="เปรียบเทียบ 2 ปีการศึกษาที่ผ่านเกณฑ์",Sheet1!B11,"")</f>
        <v>44331</v>
      </c>
    </row>
    <row r="11" spans="1:8" s="22" customFormat="1" ht="14.45" customHeight="1" x14ac:dyDescent="0.35">
      <c r="B11" s="24"/>
      <c r="C11" s="25"/>
    </row>
    <row r="12" spans="1:8" x14ac:dyDescent="0.4">
      <c r="A12" s="4"/>
      <c r="B12" s="15"/>
      <c r="C12" s="15"/>
      <c r="D12" s="4"/>
      <c r="E12" s="4"/>
      <c r="F12" s="4"/>
    </row>
    <row r="13" spans="1:8" ht="24.75" x14ac:dyDescent="0.4">
      <c r="A13" s="13"/>
      <c r="B13" s="15"/>
      <c r="C13" s="15"/>
    </row>
    <row r="14" spans="1:8" x14ac:dyDescent="0.4">
      <c r="A14" s="4"/>
      <c r="B14" s="15"/>
      <c r="C14" s="15"/>
    </row>
    <row r="15" spans="1:8" ht="23.25" customHeight="1" x14ac:dyDescent="0.4">
      <c r="A15" s="4"/>
      <c r="B15" s="15"/>
      <c r="C15" s="15"/>
    </row>
    <row r="16" spans="1:8" x14ac:dyDescent="0.4">
      <c r="A16" s="4"/>
    </row>
    <row r="17" spans="2:8" s="4" customFormat="1" x14ac:dyDescent="0.4">
      <c r="B17" s="11"/>
      <c r="C17" s="10"/>
      <c r="D17" s="10"/>
      <c r="E17" s="5"/>
      <c r="F17" s="5"/>
      <c r="G17" s="5"/>
      <c r="H17" s="11"/>
    </row>
    <row r="18" spans="2:8" s="4" customFormat="1" ht="17.25" customHeight="1" x14ac:dyDescent="0.4">
      <c r="B18" s="11"/>
      <c r="C18" s="10"/>
      <c r="D18" s="10"/>
      <c r="E18" s="5"/>
      <c r="F18" s="5"/>
      <c r="G18" s="5"/>
      <c r="H18" s="14"/>
    </row>
    <row r="19" spans="2:8" s="4" customFormat="1" x14ac:dyDescent="0.4">
      <c r="B19" s="11"/>
      <c r="C19" s="10"/>
      <c r="D19" s="10"/>
      <c r="E19" s="5"/>
      <c r="F19" s="5"/>
      <c r="G19" s="5"/>
      <c r="H19" s="11"/>
    </row>
    <row r="20" spans="2:8" s="4" customFormat="1" ht="23.25" customHeight="1" x14ac:dyDescent="0.4">
      <c r="B20" s="11"/>
      <c r="C20" s="10"/>
      <c r="D20" s="10"/>
      <c r="E20" s="5"/>
      <c r="F20" s="5"/>
      <c r="G20" s="5"/>
      <c r="H20" s="11"/>
    </row>
    <row r="21" spans="2:8" s="4" customFormat="1" x14ac:dyDescent="0.4">
      <c r="B21" s="11"/>
      <c r="C21" s="10"/>
      <c r="D21" s="10"/>
      <c r="E21" s="5"/>
      <c r="F21" s="5"/>
      <c r="G21" s="5"/>
      <c r="H21" s="11"/>
    </row>
    <row r="22" spans="2:8" s="4" customFormat="1" x14ac:dyDescent="0.4">
      <c r="B22" s="11"/>
      <c r="C22" s="10"/>
      <c r="D22" s="10"/>
      <c r="E22" s="5"/>
      <c r="F22" s="5"/>
      <c r="G22" s="5"/>
      <c r="H22" s="11"/>
    </row>
    <row r="23" spans="2:8" s="4" customFormat="1" x14ac:dyDescent="0.4">
      <c r="B23" s="11"/>
      <c r="C23" s="10"/>
      <c r="D23" s="10"/>
      <c r="E23" s="5"/>
      <c r="F23" s="5"/>
      <c r="G23" s="5"/>
      <c r="H23" s="11"/>
    </row>
    <row r="24" spans="2:8" s="4" customFormat="1" x14ac:dyDescent="0.4">
      <c r="B24" s="11"/>
      <c r="C24" s="10"/>
      <c r="D24" s="10"/>
      <c r="E24" s="5"/>
      <c r="F24" s="5"/>
      <c r="G24" s="5"/>
      <c r="H24" s="11"/>
    </row>
    <row r="25" spans="2:8" s="4" customFormat="1" x14ac:dyDescent="0.4">
      <c r="B25" s="11"/>
      <c r="C25" s="10"/>
      <c r="D25" s="10"/>
      <c r="E25" s="5"/>
      <c r="F25" s="5"/>
      <c r="G25" s="5"/>
      <c r="H25" s="11"/>
    </row>
  </sheetData>
  <sheetProtection algorithmName="SHA-512" hashValue="lMHELKM6hYeWJpQ6sV2rGwVNjXoqITNNxMC1TUJzvII1kq8QDFVp7zbaZ6xYSI+24U2oX352RLq1WXxPUqgYLQ==" saltValue="f/WZ/0M/p0aQbwopnHnIJQ==" spinCount="100000" sheet="1" objects="1" scenarios="1"/>
  <customSheetViews>
    <customSheetView guid="{D5329DB0-4045-48A1-8C49-4C0C51597FF1}" showGridLines="0" showRowCol="0" fitToPage="1">
      <selection activeCell="E12" sqref="E12"/>
      <pageMargins left="0.51181102362204722" right="0.11811023622047245" top="0.74803149606299213" bottom="0.74803149606299213" header="0.31496062992125984" footer="0.31496062992125984"/>
      <printOptions horizontalCentered="1"/>
      <pageSetup scale="78" fitToHeight="0" orientation="landscape" horizontalDpi="1200" verticalDpi="1200" r:id="rId1"/>
    </customSheetView>
  </customSheetViews>
  <mergeCells count="9">
    <mergeCell ref="G7:H7"/>
    <mergeCell ref="A1:G1"/>
    <mergeCell ref="A2:H2"/>
    <mergeCell ref="C9:C10"/>
    <mergeCell ref="D9:D10"/>
    <mergeCell ref="E9:E10"/>
    <mergeCell ref="B7:B8"/>
    <mergeCell ref="C7:D7"/>
    <mergeCell ref="E7:E8"/>
  </mergeCells>
  <printOptions horizontalCentered="1"/>
  <pageMargins left="0.51181102362204722" right="0.11811023622047245" top="0.74803149606299213" bottom="0.74803149606299213" header="0.31496062992125984" footer="0.31496062992125984"/>
  <pageSetup scale="78" fitToHeight="0" orientation="landscape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H20"/>
  <sheetViews>
    <sheetView showGridLines="0" showRowColHeaders="0" workbookViewId="0">
      <selection sqref="A1:G1"/>
    </sheetView>
  </sheetViews>
  <sheetFormatPr defaultColWidth="8.75" defaultRowHeight="24" x14ac:dyDescent="0.4"/>
  <cols>
    <col min="1" max="1" width="8.75" style="1"/>
    <col min="2" max="2" width="24.625" style="1" customWidth="1"/>
    <col min="3" max="4" width="26.125" style="1" customWidth="1"/>
    <col min="5" max="6" width="26.125" style="2" customWidth="1"/>
    <col min="7" max="7" width="26.125" style="1" customWidth="1"/>
    <col min="8" max="8" width="11.875" style="26" customWidth="1"/>
    <col min="9" max="9" width="8.75" style="26" customWidth="1"/>
    <col min="10" max="16384" width="8.75" style="26"/>
  </cols>
  <sheetData>
    <row r="1" spans="1:8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8" s="125" customFormat="1" ht="30" customHeight="1" thickBot="1" x14ac:dyDescent="0.6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8" ht="30.75" customHeight="1" thickBot="1" x14ac:dyDescent="0.5">
      <c r="A3" s="3"/>
      <c r="B3" s="17">
        <v>44409</v>
      </c>
      <c r="C3" s="2"/>
      <c r="D3" s="35" t="s">
        <v>62</v>
      </c>
      <c r="F3" s="3"/>
      <c r="G3" s="3"/>
    </row>
    <row r="4" spans="1:8" ht="21.75" x14ac:dyDescent="0.35">
      <c r="A4" s="35"/>
      <c r="B4" s="35"/>
      <c r="C4" s="37" t="s">
        <v>0</v>
      </c>
      <c r="D4" s="37" t="s">
        <v>1</v>
      </c>
      <c r="E4" s="37" t="s">
        <v>2</v>
      </c>
      <c r="F4" s="37" t="s">
        <v>3</v>
      </c>
      <c r="G4" s="37" t="s">
        <v>4</v>
      </c>
    </row>
    <row r="5" spans="1:8" ht="21.75" x14ac:dyDescent="0.35">
      <c r="A5" s="35"/>
      <c r="B5" s="35"/>
      <c r="C5" s="38" t="s">
        <v>5</v>
      </c>
      <c r="D5" s="38" t="s">
        <v>5</v>
      </c>
      <c r="E5" s="38" t="s">
        <v>5</v>
      </c>
      <c r="F5" s="38" t="s">
        <v>5</v>
      </c>
      <c r="G5" s="38" t="s">
        <v>5</v>
      </c>
    </row>
    <row r="6" spans="1:8" ht="21" x14ac:dyDescent="0.35">
      <c r="A6" s="156" t="s">
        <v>43</v>
      </c>
      <c r="B6" s="157"/>
      <c r="C6" s="39">
        <f>IF(B3&lt;=Sheet1!A6,DATE(YEAR(B3)-5,MONTH(B3),DAY(B3)+1),"-")</f>
        <v>42584</v>
      </c>
      <c r="D6" s="40">
        <f>IF(B3&lt;=Sheet1!A6,DATE(YEAR(C6)+1,MONTH(C6),DAY(C6)),"-")</f>
        <v>42949</v>
      </c>
      <c r="E6" s="40">
        <f>IF(B3&lt;=Sheet1!A6,DATE(YEAR(D6)+1,MONTH(D6),DAY(D6)),"-")</f>
        <v>43314</v>
      </c>
      <c r="F6" s="40">
        <f>IF(B3&lt;=Sheet1!A6,DATE(YEAR(E6)+1,MONTH(E6),DAY(E6)),"-")</f>
        <v>43679</v>
      </c>
      <c r="G6" s="39">
        <f>IF(B3&lt;=Sheet1!A6,DATE(YEAR(F6)+1,MONTH(F6),DAY(F6)),"-")</f>
        <v>44045</v>
      </c>
    </row>
    <row r="7" spans="1:8" ht="21" x14ac:dyDescent="0.35">
      <c r="A7" s="158" t="s">
        <v>7</v>
      </c>
      <c r="B7" s="159"/>
      <c r="C7" s="39" t="s">
        <v>6</v>
      </c>
      <c r="D7" s="39" t="s">
        <v>6</v>
      </c>
      <c r="E7" s="39" t="s">
        <v>6</v>
      </c>
      <c r="F7" s="39" t="s">
        <v>6</v>
      </c>
      <c r="G7" s="39" t="s">
        <v>6</v>
      </c>
    </row>
    <row r="8" spans="1:8" ht="21" x14ac:dyDescent="0.35">
      <c r="A8" s="160"/>
      <c r="B8" s="161"/>
      <c r="C8" s="41">
        <f>IF(B3&lt;=Sheet1!A6,DATE(YEAR(C6)+1,MONTH(C6),DAY(D6)-1),"-")</f>
        <v>42948</v>
      </c>
      <c r="D8" s="42">
        <f>IF(B3&lt;=Sheet1!A6,DATE(YEAR(C8)+1,MONTH(C8),DAY(C8)),"-")</f>
        <v>43313</v>
      </c>
      <c r="E8" s="42">
        <f>IF(B3&lt;=Sheet1!A6,DATE(YEAR(D8)+1,MONTH(D8),DAY(D8)),"-")</f>
        <v>43678</v>
      </c>
      <c r="F8" s="42">
        <f>IF(B3&lt;=Sheet1!A6,DATE(YEAR(E8)+1,MONTH(E8),DAY(E8)),"-")</f>
        <v>44044</v>
      </c>
      <c r="G8" s="42">
        <f>IF(B3&lt;=Sheet1!A6,DATE(YEAR(F8)+1,MONTH(F8),DAY(F8)),"-")</f>
        <v>44409</v>
      </c>
    </row>
    <row r="9" spans="1:8" ht="17.25" customHeight="1" x14ac:dyDescent="0.35">
      <c r="A9" s="36"/>
      <c r="B9" s="36"/>
      <c r="C9" s="43"/>
      <c r="D9" s="44"/>
      <c r="E9" s="44"/>
      <c r="F9" s="44"/>
      <c r="G9" s="44"/>
    </row>
    <row r="10" spans="1:8" ht="21.75" x14ac:dyDescent="0.35">
      <c r="A10" s="162"/>
      <c r="B10" s="163"/>
      <c r="C10" s="45" t="s">
        <v>8</v>
      </c>
      <c r="D10" s="45" t="s">
        <v>9</v>
      </c>
      <c r="E10" s="45" t="s">
        <v>10</v>
      </c>
      <c r="F10" s="45" t="s">
        <v>11</v>
      </c>
      <c r="G10" s="45" t="s">
        <v>12</v>
      </c>
    </row>
    <row r="11" spans="1:8" ht="21" x14ac:dyDescent="0.35">
      <c r="A11" s="164" t="s">
        <v>44</v>
      </c>
      <c r="B11" s="165"/>
      <c r="C11" s="46">
        <f>IF(B3&lt;=Sheet1!A6,DATE(YEAR(D11)-1,MONTH(D11),DAY(D11)),"-")</f>
        <v>42506</v>
      </c>
      <c r="D11" s="46">
        <f>IF(B3&lt;=Sheet1!A6,DATE(YEAR(E11)-1,MONTH(E11),DAY(E11)),"-")</f>
        <v>42871</v>
      </c>
      <c r="E11" s="46">
        <f>IF(B3&lt;=Sheet1!A6,DATE(YEAR(F11)-1,MONTH(F11),DAY(F11)),"-")</f>
        <v>43236</v>
      </c>
      <c r="F11" s="46">
        <f>IF(B3&lt;=Sheet1!A6,DATE(YEAR(G11)-1,MONTH(G11),DAY(G11)),"-")</f>
        <v>43601</v>
      </c>
      <c r="G11" s="46">
        <f>IF(B3&lt;=Sheet1!A6,DATE(YEAR(G13)-1,MONTH(G13),DAY(G13+1)),"-")</f>
        <v>43967</v>
      </c>
    </row>
    <row r="12" spans="1:8" ht="21" x14ac:dyDescent="0.35">
      <c r="A12" s="166" t="s">
        <v>7</v>
      </c>
      <c r="B12" s="167"/>
      <c r="C12" s="47" t="s">
        <v>6</v>
      </c>
      <c r="D12" s="47" t="s">
        <v>6</v>
      </c>
      <c r="E12" s="47" t="s">
        <v>6</v>
      </c>
      <c r="F12" s="47" t="s">
        <v>6</v>
      </c>
      <c r="G12" s="47" t="s">
        <v>6</v>
      </c>
    </row>
    <row r="13" spans="1:8" ht="21" x14ac:dyDescent="0.35">
      <c r="A13" s="168"/>
      <c r="B13" s="169"/>
      <c r="C13" s="47">
        <f>IF(B3&lt;=Sheet1!A6,DATE(YEAR(C11)+1,MONTH(C11),DAY(C11)-1),"-")</f>
        <v>42870</v>
      </c>
      <c r="D13" s="47">
        <f>IF(B3&lt;=Sheet1!A6,DATE(YEAR(D11)+1,MONTH(D11),DAY(D11)-1),"-")</f>
        <v>43235</v>
      </c>
      <c r="E13" s="47">
        <f>IF(B3&lt;=Sheet1!A6,DATE(YEAR(E11)+1,MONTH(E11),DAY(E11)-1),"-")</f>
        <v>43600</v>
      </c>
      <c r="F13" s="47">
        <f>IF(B3&lt;=Sheet1!A6,DATE(YEAR(F11)+1,MONTH(F11),DAY(F11)-1),"-")</f>
        <v>43966</v>
      </c>
      <c r="G13" s="47">
        <f>IF(B3&lt;=Sheet1!A6,IF(DATE(YEAR(B3),MONTH(B3),DAY(B3))&lt;Sheet1!D6,DATE(YEAR(Sheet1!E6)-1,MONTH(Sheet1!E6),DAY(Sheet1!E6)),Sheet1!E6),"-")</f>
        <v>44331</v>
      </c>
    </row>
    <row r="14" spans="1:8" ht="14.25" customHeight="1" x14ac:dyDescent="0.4"/>
    <row r="15" spans="1:8" ht="24" customHeight="1" x14ac:dyDescent="0.35">
      <c r="A15" s="18" t="s">
        <v>36</v>
      </c>
      <c r="B15" s="155" t="s">
        <v>37</v>
      </c>
      <c r="C15" s="155"/>
      <c r="D15" s="155"/>
      <c r="E15" s="155"/>
      <c r="F15" s="155"/>
      <c r="G15" s="155"/>
    </row>
    <row r="16" spans="1:8" ht="24" customHeight="1" x14ac:dyDescent="0.35">
      <c r="A16" s="19">
        <v>1</v>
      </c>
      <c r="B16" s="154" t="s">
        <v>38</v>
      </c>
      <c r="C16" s="154"/>
      <c r="D16" s="154"/>
      <c r="E16" s="154"/>
      <c r="F16" s="154"/>
      <c r="G16" s="154"/>
    </row>
    <row r="17" spans="1:7" ht="141.75" customHeight="1" x14ac:dyDescent="0.35">
      <c r="A17" s="20">
        <v>2</v>
      </c>
      <c r="B17" s="153" t="s">
        <v>39</v>
      </c>
      <c r="C17" s="153"/>
      <c r="D17" s="153"/>
      <c r="E17" s="153"/>
      <c r="F17" s="153"/>
      <c r="G17" s="153"/>
    </row>
    <row r="18" spans="1:7" ht="51.75" customHeight="1" x14ac:dyDescent="0.35">
      <c r="A18" s="20">
        <v>3</v>
      </c>
      <c r="B18" s="153" t="s">
        <v>40</v>
      </c>
      <c r="C18" s="153"/>
      <c r="D18" s="153"/>
      <c r="E18" s="153"/>
      <c r="F18" s="153"/>
      <c r="G18" s="153"/>
    </row>
    <row r="19" spans="1:7" ht="24" customHeight="1" x14ac:dyDescent="0.35">
      <c r="A19" s="19">
        <v>4</v>
      </c>
      <c r="B19" s="154" t="s">
        <v>41</v>
      </c>
      <c r="C19" s="154"/>
      <c r="D19" s="154"/>
      <c r="E19" s="154"/>
      <c r="F19" s="154"/>
      <c r="G19" s="154"/>
    </row>
    <row r="20" spans="1:7" ht="51" customHeight="1" x14ac:dyDescent="0.35">
      <c r="A20" s="20">
        <v>5</v>
      </c>
      <c r="B20" s="153" t="s">
        <v>42</v>
      </c>
      <c r="C20" s="153"/>
      <c r="D20" s="153"/>
      <c r="E20" s="153"/>
      <c r="F20" s="153"/>
      <c r="G20" s="153"/>
    </row>
  </sheetData>
  <sheetProtection algorithmName="SHA-512" hashValue="MPGfmUM6o167l3djjF2ZgxD+3vqDnEphrPtpxSxGGqnCFF6EMTF9ccmL67aL5KayRYc6RR1Qsta+yDv98fn5Nw==" saltValue="/D4aG+Z5MNMcISnveRMz5A==" spinCount="100000" sheet="1" objects="1" scenarios="1"/>
  <customSheetViews>
    <customSheetView guid="{D5329DB0-4045-48A1-8C49-4C0C51597FF1}" showGridLines="0" showRowCol="0" fitToPage="1">
      <selection activeCell="B20" sqref="B20:G20"/>
      <pageMargins left="0.51181102362204722" right="0.11811023622047245" top="0.74803149606299213" bottom="0.74803149606299213" header="0.31496062992125984" footer="0.31496062992125984"/>
      <printOptions horizontalCentered="1"/>
      <pageSetup scale="78" fitToHeight="0" orientation="landscape" horizontalDpi="1200" verticalDpi="1200" r:id="rId1"/>
    </customSheetView>
  </customSheetViews>
  <mergeCells count="11">
    <mergeCell ref="A1:G1"/>
    <mergeCell ref="A6:B8"/>
    <mergeCell ref="A10:B10"/>
    <mergeCell ref="A11:B13"/>
    <mergeCell ref="B18:G18"/>
    <mergeCell ref="A2:H2"/>
    <mergeCell ref="B20:G20"/>
    <mergeCell ref="B19:G19"/>
    <mergeCell ref="B15:G15"/>
    <mergeCell ref="B16:G16"/>
    <mergeCell ref="B17:G17"/>
  </mergeCells>
  <printOptions horizontalCentered="1"/>
  <pageMargins left="0.51181102362204722" right="0.11811023622047245" top="0.74803149606299213" bottom="0.74803149606299213" header="0.31496062992125984" footer="0.31496062992125984"/>
  <pageSetup scale="78" fitToHeight="0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I26"/>
  <sheetViews>
    <sheetView showGridLines="0" showRowColHeaders="0" workbookViewId="0">
      <selection sqref="A1:G1"/>
    </sheetView>
  </sheetViews>
  <sheetFormatPr defaultColWidth="8.75" defaultRowHeight="24" x14ac:dyDescent="0.4"/>
  <cols>
    <col min="1" max="1" width="3.25" style="10" customWidth="1"/>
    <col min="2" max="2" width="17.125" style="11" customWidth="1"/>
    <col min="3" max="3" width="2.5" style="11" customWidth="1"/>
    <col min="4" max="4" width="16.25" style="11" customWidth="1"/>
    <col min="5" max="5" width="26.25" style="10" customWidth="1"/>
    <col min="6" max="6" width="28" style="10" customWidth="1"/>
    <col min="7" max="7" width="25.375" style="5" customWidth="1"/>
    <col min="8" max="8" width="41" style="5" customWidth="1"/>
    <col min="9" max="9" width="16.75" style="11" customWidth="1"/>
    <col min="10" max="11" width="18.75" style="4" bestFit="1" customWidth="1"/>
    <col min="12" max="16384" width="8.75" style="4"/>
  </cols>
  <sheetData>
    <row r="1" spans="1:9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9" s="125" customFormat="1" ht="30" customHeight="1" thickBot="1" x14ac:dyDescent="0.6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9" s="7" customFormat="1" ht="39" customHeight="1" thickBot="1" x14ac:dyDescent="0.4">
      <c r="B3" s="170" t="s">
        <v>13</v>
      </c>
      <c r="C3" s="171"/>
      <c r="D3" s="172"/>
      <c r="E3" s="89">
        <v>44581</v>
      </c>
      <c r="F3" s="93"/>
      <c r="G3" s="91" t="s">
        <v>27</v>
      </c>
      <c r="H3" s="92">
        <f>DATE(YEAR(E3)+4,MONTH(E3),DAY(E3))</f>
        <v>46042</v>
      </c>
    </row>
    <row r="4" spans="1:9" s="6" customFormat="1" ht="15" customHeight="1" x14ac:dyDescent="0.35">
      <c r="F4" s="21"/>
      <c r="G4" s="27"/>
      <c r="H4" s="27"/>
    </row>
    <row r="5" spans="1:9" s="6" customFormat="1" ht="9" customHeight="1" x14ac:dyDescent="0.35">
      <c r="F5" s="21"/>
      <c r="G5" s="27"/>
      <c r="H5" s="27"/>
    </row>
    <row r="6" spans="1:9" s="28" customFormat="1" ht="22.9" customHeight="1" x14ac:dyDescent="0.35">
      <c r="B6" s="186" t="s">
        <v>28</v>
      </c>
      <c r="C6" s="187"/>
      <c r="D6" s="188"/>
      <c r="E6" s="145" t="s">
        <v>30</v>
      </c>
      <c r="F6" s="145"/>
      <c r="G6" s="145"/>
      <c r="H6" s="145" t="s">
        <v>34</v>
      </c>
      <c r="I6" s="48"/>
    </row>
    <row r="7" spans="1:9" s="49" customFormat="1" ht="22.9" customHeight="1" x14ac:dyDescent="0.4">
      <c r="B7" s="189"/>
      <c r="C7" s="190"/>
      <c r="D7" s="191"/>
      <c r="E7" s="50" t="s">
        <v>31</v>
      </c>
      <c r="F7" s="50" t="s">
        <v>32</v>
      </c>
      <c r="G7" s="50" t="s">
        <v>33</v>
      </c>
      <c r="H7" s="182"/>
      <c r="I7" s="48"/>
    </row>
    <row r="8" spans="1:9" s="49" customFormat="1" ht="24.6" customHeight="1" x14ac:dyDescent="0.4">
      <c r="B8" s="176" t="s">
        <v>45</v>
      </c>
      <c r="C8" s="177"/>
      <c r="D8" s="178"/>
      <c r="E8" s="71">
        <f>IF(B10-3&gt;2564,B10-3,"")</f>
        <v>2566</v>
      </c>
      <c r="F8" s="71">
        <f>IF(B10-2&gt;2564,B10-2,"")</f>
        <v>2567</v>
      </c>
      <c r="G8" s="71">
        <f>IF(B10-1&gt;2564,B10-1,"")</f>
        <v>2568</v>
      </c>
      <c r="H8" s="173" t="s">
        <v>49</v>
      </c>
      <c r="I8" s="48"/>
    </row>
    <row r="9" spans="1:9" s="49" customFormat="1" ht="24.6" customHeight="1" x14ac:dyDescent="0.4">
      <c r="B9" s="179"/>
      <c r="C9" s="180"/>
      <c r="D9" s="181"/>
      <c r="E9" s="54">
        <f>IF(E8="","",DATE(YEAR(B11)-3,MONTH(B11),DAY(B11)))</f>
        <v>44835</v>
      </c>
      <c r="F9" s="55">
        <f>IF(F8="","",DATE(YEAR(B11)-2,MONTH(B11),DAY(B11)))</f>
        <v>45200</v>
      </c>
      <c r="G9" s="56">
        <f>IF(G8="","",DATE(YEAR(B11)-1,MONTH(B11),DAY(B11)))</f>
        <v>45566</v>
      </c>
      <c r="H9" s="174"/>
      <c r="I9" s="48"/>
    </row>
    <row r="10" spans="1:9" s="49" customFormat="1" ht="24.6" customHeight="1" x14ac:dyDescent="0.4">
      <c r="B10" s="183">
        <f>YEAR(D11)+543</f>
        <v>2569</v>
      </c>
      <c r="C10" s="184"/>
      <c r="D10" s="185"/>
      <c r="E10" s="51" t="str">
        <f>IF(E8="","","ถึง")</f>
        <v>ถึง</v>
      </c>
      <c r="F10" s="51" t="str">
        <f>IF(F8="","","ถึง")</f>
        <v>ถึง</v>
      </c>
      <c r="G10" s="51" t="str">
        <f>IF(G8="","","ถึง")</f>
        <v>ถึง</v>
      </c>
      <c r="H10" s="174"/>
      <c r="I10" s="48"/>
    </row>
    <row r="11" spans="1:9" s="49" customFormat="1" ht="106.15" customHeight="1" x14ac:dyDescent="0.4">
      <c r="B11" s="52">
        <f>DATE(YEAR(G14)-1,MONTH(E13),DAY(E13))</f>
        <v>45931</v>
      </c>
      <c r="C11" s="72" t="s">
        <v>29</v>
      </c>
      <c r="D11" s="53">
        <f>IF(H3&lt;=E14,F14,DATE(YEAR(E14)+1,MONTH(E14),DAY(E14)))</f>
        <v>46295</v>
      </c>
      <c r="E11" s="53">
        <f>IF(E8="","",DATE(YEAR(D11)-3,MONTH(D11),DAY(D11)))</f>
        <v>45199</v>
      </c>
      <c r="F11" s="57">
        <f>IF(F8="","",DATE(YEAR(D11)-2,MONTH(D11),DAY(D11)))</f>
        <v>45565</v>
      </c>
      <c r="G11" s="57">
        <f>IF(G8="","",DATE(YEAR(D11)-1,MONTH(D11),DAY(D11)))</f>
        <v>45930</v>
      </c>
      <c r="H11" s="175"/>
      <c r="I11" s="48"/>
    </row>
    <row r="12" spans="1:9" s="74" customFormat="1" ht="14.45" customHeight="1" x14ac:dyDescent="0.35">
      <c r="B12" s="75"/>
      <c r="C12" s="75"/>
      <c r="D12" s="75"/>
      <c r="E12" s="76"/>
    </row>
    <row r="13" spans="1:9" s="77" customFormat="1" x14ac:dyDescent="0.4">
      <c r="B13" s="78"/>
      <c r="C13" s="78"/>
      <c r="D13" s="79">
        <v>44470</v>
      </c>
      <c r="E13" s="79">
        <f>DATE(YEAR(H3),MONTH(D13),DAY(1))</f>
        <v>46296</v>
      </c>
      <c r="F13" s="79">
        <f>IF('PA เต็มรูปแบบ 4 ปี'!H3&gt;='PA เต็มรูปแบบ 4 ปี'!E13,'PA เต็มรูปแบบ 4 ปี'!E13,DATE(YEAR('PA เต็มรูปแบบ 4 ปี'!E13)-1,MONTH('PA เต็มรูปแบบ 4 ปี'!E13),DAY('PA เต็มรูปแบบ 4 ปี'!E13)))</f>
        <v>45931</v>
      </c>
      <c r="G13" s="74">
        <f>DATE(YEAR(G14)-1,MONTH(E13),DAY(E13))</f>
        <v>45931</v>
      </c>
      <c r="H13" s="80"/>
      <c r="I13" s="78"/>
    </row>
    <row r="14" spans="1:9" s="77" customFormat="1" ht="24.75" x14ac:dyDescent="0.4">
      <c r="A14" s="81"/>
      <c r="B14" s="78"/>
      <c r="C14" s="78"/>
      <c r="D14" s="79">
        <v>44834</v>
      </c>
      <c r="E14" s="79">
        <f>DATE(YEAR(H3),MONTH(D14),DAY(30))</f>
        <v>46295</v>
      </c>
      <c r="F14" s="79">
        <f>DATE(YEAR(F13)+1,MONTH('PA เต็มรูปแบบ 4 ปี'!E14),DAY('PA เต็มรูปแบบ 4 ปี'!E14))</f>
        <v>46295</v>
      </c>
      <c r="G14" s="80">
        <f>IF(H3&lt;=E14,F14,DATE(YEAR(E14)+1,MONTH(E14),DAY(E14)))</f>
        <v>46295</v>
      </c>
      <c r="H14" s="80"/>
      <c r="I14" s="78"/>
    </row>
    <row r="15" spans="1:9" s="77" customFormat="1" x14ac:dyDescent="0.4">
      <c r="B15" s="78"/>
      <c r="C15" s="82"/>
      <c r="D15" s="82"/>
      <c r="E15" s="83"/>
      <c r="F15" s="83"/>
      <c r="G15" s="80"/>
      <c r="H15" s="80"/>
      <c r="I15" s="78"/>
    </row>
    <row r="16" spans="1:9" s="77" customFormat="1" ht="23.25" customHeight="1" x14ac:dyDescent="0.4">
      <c r="B16" s="82"/>
      <c r="C16" s="82"/>
      <c r="D16" s="82"/>
      <c r="E16" s="82"/>
      <c r="F16" s="83"/>
      <c r="G16" s="80"/>
      <c r="H16" s="80"/>
      <c r="I16" s="78"/>
    </row>
    <row r="17" spans="1:9" s="77" customFormat="1" x14ac:dyDescent="0.4">
      <c r="B17" s="78"/>
      <c r="C17" s="78"/>
      <c r="D17" s="78"/>
      <c r="E17" s="83"/>
      <c r="F17" s="83"/>
      <c r="G17" s="80"/>
      <c r="H17" s="80"/>
      <c r="I17" s="84"/>
    </row>
    <row r="18" spans="1:9" s="77" customFormat="1" x14ac:dyDescent="0.4">
      <c r="B18" s="78"/>
      <c r="C18" s="78"/>
      <c r="D18" s="78"/>
      <c r="E18" s="83"/>
      <c r="F18" s="83"/>
      <c r="G18" s="80"/>
      <c r="H18" s="80"/>
      <c r="I18" s="84"/>
    </row>
    <row r="19" spans="1:9" ht="17.25" customHeight="1" x14ac:dyDescent="0.4">
      <c r="A19" s="4"/>
      <c r="I19" s="85"/>
    </row>
    <row r="20" spans="1:9" x14ac:dyDescent="0.4">
      <c r="A20" s="4"/>
      <c r="I20" s="86"/>
    </row>
    <row r="21" spans="1:9" ht="23.25" customHeight="1" x14ac:dyDescent="0.4">
      <c r="A21" s="4"/>
    </row>
    <row r="22" spans="1:9" x14ac:dyDescent="0.4">
      <c r="A22" s="4"/>
    </row>
    <row r="23" spans="1:9" x14ac:dyDescent="0.4">
      <c r="A23" s="4"/>
    </row>
    <row r="24" spans="1:9" x14ac:dyDescent="0.4">
      <c r="A24" s="4"/>
    </row>
    <row r="25" spans="1:9" x14ac:dyDescent="0.4">
      <c r="A25" s="4"/>
    </row>
    <row r="26" spans="1:9" x14ac:dyDescent="0.4">
      <c r="A26" s="4"/>
    </row>
  </sheetData>
  <sheetProtection algorithmName="SHA-512" hashValue="RPRmHQj+bDm8YuPBTG3xrgJJArd+JrSwJyKqlpjYQIfV+gca7KzeOTRdcuCRqaoKZASLpmtq8VnFqW8XK2bIqA==" saltValue="Djlo9YxOyeBgRuyYbLzseg==" spinCount="100000" sheet="1" objects="1" scenarios="1"/>
  <customSheetViews>
    <customSheetView guid="{D5329DB0-4045-48A1-8C49-4C0C51597FF1}" showGridLines="0" showRowCol="0" fitToPage="1">
      <selection activeCell="F14" sqref="F14"/>
      <pageMargins left="0.51181102362204722" right="0.11811023622047245" top="0.74803149606299213" bottom="0.74803149606299213" header="0.31496062992125984" footer="0.31496062992125984"/>
      <printOptions horizontalCentered="1"/>
      <pageSetup scale="73" fitToHeight="0" orientation="landscape" horizontalDpi="1200" verticalDpi="1200" r:id="rId1"/>
    </customSheetView>
  </customSheetViews>
  <mergeCells count="9">
    <mergeCell ref="A1:G1"/>
    <mergeCell ref="A2:H2"/>
    <mergeCell ref="B3:D3"/>
    <mergeCell ref="E6:G6"/>
    <mergeCell ref="H8:H11"/>
    <mergeCell ref="B8:D9"/>
    <mergeCell ref="H6:H7"/>
    <mergeCell ref="B10:D10"/>
    <mergeCell ref="B6:D7"/>
  </mergeCells>
  <printOptions horizontalCentered="1"/>
  <pageMargins left="0.51181102362204722" right="0.11811023622047245" top="0.74803149606299213" bottom="0.74803149606299213" header="0.31496062992125984" footer="0.31496062992125984"/>
  <pageSetup scale="73" fitToHeight="0" orientation="landscape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I26"/>
  <sheetViews>
    <sheetView showGridLines="0" showRowColHeaders="0" workbookViewId="0">
      <selection sqref="A1:G1"/>
    </sheetView>
  </sheetViews>
  <sheetFormatPr defaultColWidth="8.75" defaultRowHeight="24" x14ac:dyDescent="0.4"/>
  <cols>
    <col min="1" max="1" width="3.25" style="10" customWidth="1"/>
    <col min="2" max="2" width="17.125" style="11" customWidth="1"/>
    <col min="3" max="3" width="2.5" style="11" customWidth="1"/>
    <col min="4" max="4" width="17.25" style="11" customWidth="1"/>
    <col min="5" max="5" width="28.75" style="10" customWidth="1"/>
    <col min="6" max="6" width="28.5" style="10" customWidth="1"/>
    <col min="7" max="7" width="25.375" style="5" customWidth="1"/>
    <col min="8" max="8" width="35.875" style="5" customWidth="1"/>
    <col min="9" max="9" width="16.75" style="11" customWidth="1"/>
    <col min="10" max="11" width="18.75" style="4" bestFit="1" customWidth="1"/>
    <col min="12" max="16384" width="8.75" style="4"/>
  </cols>
  <sheetData>
    <row r="1" spans="1:9" s="125" customFormat="1" ht="23.25" customHeight="1" x14ac:dyDescent="0.55000000000000004">
      <c r="A1" s="129" t="s">
        <v>59</v>
      </c>
      <c r="B1" s="129"/>
      <c r="C1" s="129"/>
      <c r="D1" s="129"/>
      <c r="E1" s="129"/>
      <c r="F1" s="129"/>
      <c r="G1" s="129"/>
    </row>
    <row r="2" spans="1:9" s="125" customFormat="1" ht="30" customHeight="1" thickBot="1" x14ac:dyDescent="0.6">
      <c r="A2" s="130" t="s">
        <v>58</v>
      </c>
      <c r="B2" s="130"/>
      <c r="C2" s="130"/>
      <c r="D2" s="130"/>
      <c r="E2" s="130"/>
      <c r="F2" s="130"/>
      <c r="G2" s="130"/>
      <c r="H2" s="130"/>
    </row>
    <row r="3" spans="1:9" s="7" customFormat="1" ht="39" customHeight="1" thickBot="1" x14ac:dyDescent="0.4">
      <c r="B3" s="170" t="s">
        <v>13</v>
      </c>
      <c r="C3" s="171"/>
      <c r="D3" s="172"/>
      <c r="E3" s="89">
        <v>44571</v>
      </c>
      <c r="F3" s="90"/>
      <c r="G3" s="91" t="s">
        <v>35</v>
      </c>
      <c r="H3" s="92">
        <f>DATE(YEAR(E3)+3,MONTH(E3),DAY(E3))</f>
        <v>45667</v>
      </c>
    </row>
    <row r="4" spans="1:9" s="6" customFormat="1" ht="22.5" customHeight="1" x14ac:dyDescent="0.35">
      <c r="F4" s="21"/>
      <c r="G4" s="27"/>
      <c r="H4" s="27"/>
    </row>
    <row r="5" spans="1:9" s="6" customFormat="1" ht="14.25" customHeight="1" x14ac:dyDescent="0.35">
      <c r="F5" s="21"/>
      <c r="G5" s="27"/>
      <c r="H5" s="27"/>
    </row>
    <row r="6" spans="1:9" s="28" customFormat="1" ht="22.9" customHeight="1" x14ac:dyDescent="0.35">
      <c r="B6" s="186" t="s">
        <v>28</v>
      </c>
      <c r="C6" s="187"/>
      <c r="D6" s="188"/>
      <c r="E6" s="198" t="s">
        <v>30</v>
      </c>
      <c r="F6" s="199"/>
      <c r="G6" s="145" t="s">
        <v>34</v>
      </c>
      <c r="H6" s="145"/>
      <c r="I6" s="48"/>
    </row>
    <row r="7" spans="1:9" s="49" customFormat="1" ht="22.9" customHeight="1" x14ac:dyDescent="0.4">
      <c r="B7" s="189"/>
      <c r="C7" s="190"/>
      <c r="D7" s="191"/>
      <c r="E7" s="50" t="s">
        <v>31</v>
      </c>
      <c r="F7" s="50" t="s">
        <v>32</v>
      </c>
      <c r="G7" s="145"/>
      <c r="H7" s="145"/>
    </row>
    <row r="8" spans="1:9" s="49" customFormat="1" ht="24.6" customHeight="1" x14ac:dyDescent="0.4">
      <c r="B8" s="176" t="s">
        <v>50</v>
      </c>
      <c r="C8" s="177"/>
      <c r="D8" s="178"/>
      <c r="E8" s="71">
        <f>IF(B10-2&gt;2564,B10-2,"")</f>
        <v>2566</v>
      </c>
      <c r="F8" s="71">
        <f>IF(B10-1&gt;2564,B10-1,"")</f>
        <v>2567</v>
      </c>
      <c r="G8" s="192" t="s">
        <v>51</v>
      </c>
      <c r="H8" s="193"/>
    </row>
    <row r="9" spans="1:9" s="49" customFormat="1" ht="24.6" customHeight="1" x14ac:dyDescent="0.4">
      <c r="B9" s="179"/>
      <c r="C9" s="180"/>
      <c r="D9" s="181"/>
      <c r="E9" s="55">
        <f>IF(E8="","",DATE(YEAR(B11)-2,MONTH(B11),DAY(B11)))</f>
        <v>44835</v>
      </c>
      <c r="F9" s="56">
        <f>IF(F8="","",DATE(YEAR(B11)-1,MONTH(B11),DAY(B11)))</f>
        <v>45200</v>
      </c>
      <c r="G9" s="194"/>
      <c r="H9" s="195"/>
    </row>
    <row r="10" spans="1:9" s="49" customFormat="1" ht="24.6" customHeight="1" x14ac:dyDescent="0.4">
      <c r="B10" s="183">
        <f>YEAR(D11)+543</f>
        <v>2568</v>
      </c>
      <c r="C10" s="184"/>
      <c r="D10" s="185"/>
      <c r="E10" s="51" t="str">
        <f>IF(E8="","","ถึง")</f>
        <v>ถึง</v>
      </c>
      <c r="F10" s="51" t="str">
        <f>IF(F8="","","ถึง")</f>
        <v>ถึง</v>
      </c>
      <c r="G10" s="194"/>
      <c r="H10" s="195"/>
    </row>
    <row r="11" spans="1:9" s="49" customFormat="1" ht="38.450000000000003" customHeight="1" x14ac:dyDescent="0.4">
      <c r="B11" s="52">
        <f>DATE(YEAR(G14)-1,MONTH(E13),DAY(E13))</f>
        <v>45566</v>
      </c>
      <c r="C11" s="72" t="s">
        <v>29</v>
      </c>
      <c r="D11" s="53">
        <f>IF(H3&lt;=E14,F14,DATE(YEAR(E14)+1,MONTH(E14),DAY(E14)))</f>
        <v>45930</v>
      </c>
      <c r="E11" s="57">
        <f>IF(E8="","",DATE(YEAR(D11)-2,MONTH(D11),DAY(D11)))</f>
        <v>45199</v>
      </c>
      <c r="F11" s="57">
        <f>IF(F8="","",DATE(YEAR(D11)-1,MONTH(D11),DAY(D11)))</f>
        <v>45565</v>
      </c>
      <c r="G11" s="196"/>
      <c r="H11" s="197"/>
    </row>
    <row r="12" spans="1:9" s="74" customFormat="1" ht="14.45" customHeight="1" x14ac:dyDescent="0.35">
      <c r="B12" s="75"/>
      <c r="C12" s="75"/>
      <c r="D12" s="75"/>
      <c r="E12" s="76"/>
    </row>
    <row r="13" spans="1:9" s="77" customFormat="1" x14ac:dyDescent="0.4">
      <c r="B13" s="78"/>
      <c r="C13" s="78"/>
      <c r="D13" s="79">
        <v>44470</v>
      </c>
      <c r="E13" s="79">
        <f>DATE(YEAR(H3),MONTH(D13),DAY(1))</f>
        <v>45931</v>
      </c>
      <c r="F13" s="79">
        <f>IF('PA เต็มรูปแบบลดเหลือ 3 ปี (ว4)'!H3&gt;='PA เต็มรูปแบบลดเหลือ 3 ปี (ว4)'!E13,'PA เต็มรูปแบบลดเหลือ 3 ปี (ว4)'!E13,DATE(YEAR('PA เต็มรูปแบบลดเหลือ 3 ปี (ว4)'!E13)-1,MONTH('PA เต็มรูปแบบลดเหลือ 3 ปี (ว4)'!E13),DAY('PA เต็มรูปแบบลดเหลือ 3 ปี (ว4)'!E13)))</f>
        <v>45566</v>
      </c>
      <c r="G13" s="74">
        <f>DATE(YEAR(G14)-1,MONTH(E13),DAY(E13))</f>
        <v>45566</v>
      </c>
      <c r="H13" s="80"/>
      <c r="I13" s="78"/>
    </row>
    <row r="14" spans="1:9" s="77" customFormat="1" ht="24.75" x14ac:dyDescent="0.4">
      <c r="A14" s="81"/>
      <c r="B14" s="78"/>
      <c r="C14" s="78"/>
      <c r="D14" s="79">
        <v>44834</v>
      </c>
      <c r="E14" s="79">
        <f>DATE(YEAR(H3),MONTH(D14),DAY(30))</f>
        <v>45930</v>
      </c>
      <c r="F14" s="79">
        <f>DATE(YEAR(F13)+1,MONTH('PA เต็มรูปแบบลดเหลือ 3 ปี (ว4)'!E14),DAY('PA เต็มรูปแบบลดเหลือ 3 ปี (ว4)'!E14))</f>
        <v>45930</v>
      </c>
      <c r="G14" s="80">
        <f>IF(H3&lt;=E14,F14,DATE(YEAR(E14)+1,MONTH(E14),DAY(E14)))</f>
        <v>45930</v>
      </c>
      <c r="H14" s="80"/>
      <c r="I14" s="78"/>
    </row>
    <row r="15" spans="1:9" s="77" customFormat="1" x14ac:dyDescent="0.4">
      <c r="B15" s="78"/>
      <c r="C15" s="82"/>
      <c r="D15" s="82"/>
      <c r="E15" s="83"/>
      <c r="F15" s="83"/>
      <c r="G15" s="80"/>
      <c r="H15" s="80"/>
      <c r="I15" s="78"/>
    </row>
    <row r="16" spans="1:9" s="77" customFormat="1" ht="23.25" customHeight="1" x14ac:dyDescent="0.4">
      <c r="B16" s="82"/>
      <c r="C16" s="82"/>
      <c r="D16" s="82"/>
      <c r="E16" s="82"/>
      <c r="F16" s="83"/>
      <c r="G16" s="80"/>
      <c r="H16" s="80"/>
      <c r="I16" s="78"/>
    </row>
    <row r="17" spans="1:9" s="77" customFormat="1" x14ac:dyDescent="0.4">
      <c r="B17" s="78"/>
      <c r="C17" s="78"/>
      <c r="D17" s="78"/>
      <c r="E17" s="83"/>
      <c r="F17" s="83"/>
      <c r="G17" s="80"/>
      <c r="H17" s="80"/>
      <c r="I17" s="78"/>
    </row>
    <row r="18" spans="1:9" s="77" customFormat="1" x14ac:dyDescent="0.4">
      <c r="B18" s="78"/>
      <c r="C18" s="78"/>
      <c r="D18" s="78"/>
      <c r="E18" s="83"/>
      <c r="F18" s="83"/>
      <c r="G18" s="80"/>
      <c r="H18" s="80"/>
      <c r="I18" s="84"/>
    </row>
    <row r="19" spans="1:9" s="77" customFormat="1" ht="17.25" customHeight="1" x14ac:dyDescent="0.4">
      <c r="B19" s="78"/>
      <c r="C19" s="78"/>
      <c r="D19" s="78"/>
      <c r="E19" s="83"/>
      <c r="F19" s="83"/>
      <c r="G19" s="80"/>
      <c r="H19" s="80"/>
      <c r="I19" s="87"/>
    </row>
    <row r="20" spans="1:9" s="77" customFormat="1" x14ac:dyDescent="0.4">
      <c r="B20" s="78"/>
      <c r="C20" s="78"/>
      <c r="D20" s="78"/>
      <c r="E20" s="83"/>
      <c r="F20" s="83"/>
      <c r="G20" s="80"/>
      <c r="H20" s="80"/>
      <c r="I20" s="84"/>
    </row>
    <row r="21" spans="1:9" ht="23.25" customHeight="1" x14ac:dyDescent="0.4">
      <c r="A21" s="4"/>
    </row>
    <row r="22" spans="1:9" x14ac:dyDescent="0.4">
      <c r="A22" s="4"/>
    </row>
    <row r="23" spans="1:9" x14ac:dyDescent="0.4">
      <c r="A23" s="4"/>
    </row>
    <row r="24" spans="1:9" x14ac:dyDescent="0.4">
      <c r="A24" s="4"/>
    </row>
    <row r="25" spans="1:9" x14ac:dyDescent="0.4">
      <c r="A25" s="4"/>
    </row>
    <row r="26" spans="1:9" x14ac:dyDescent="0.4">
      <c r="A26" s="4"/>
    </row>
  </sheetData>
  <sheetProtection algorithmName="SHA-512" hashValue="VkOMuo65xOD052YS/3qZzf71O+xtVjreiEEke003avkuKE7xSgH3hZFxeKYNglP3rsXQqhJBTx4xCAZ+RE6GkA==" saltValue="yzo0ooQKetYHAZhDGMFMnQ==" spinCount="100000" sheet="1" objects="1" scenarios="1"/>
  <customSheetViews>
    <customSheetView guid="{D5329DB0-4045-48A1-8C49-4C0C51597FF1}" showGridLines="0" showRowCol="0" fitToPage="1">
      <selection activeCell="E9" sqref="E9"/>
      <pageMargins left="0.51181102362204722" right="0.11811023622047245" top="0.74803149606299213" bottom="0.74803149606299213" header="0.31496062992125984" footer="0.31496062992125984"/>
      <printOptions horizontalCentered="1"/>
      <pageSetup scale="85" fitToHeight="0" orientation="landscape" horizontalDpi="1200" verticalDpi="1200" r:id="rId1"/>
    </customSheetView>
  </customSheetViews>
  <mergeCells count="9">
    <mergeCell ref="A1:G1"/>
    <mergeCell ref="A2:H2"/>
    <mergeCell ref="G6:H7"/>
    <mergeCell ref="G8:H11"/>
    <mergeCell ref="B3:D3"/>
    <mergeCell ref="B6:D7"/>
    <mergeCell ref="B8:D9"/>
    <mergeCell ref="B10:D10"/>
    <mergeCell ref="E6:F6"/>
  </mergeCells>
  <printOptions horizontalCentered="1"/>
  <pageMargins left="0.51181102362204722" right="0.11811023622047245" top="0.74803149606299213" bottom="0.74803149606299213" header="0.31496062992125984" footer="0.31496062992125984"/>
  <pageSetup scale="85" fitToHeight="0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Sheet1</vt:lpstr>
      <vt:lpstr>คำนวณการยื่น</vt:lpstr>
      <vt:lpstr>เปลี่ยนผ่าน 4 ปี</vt:lpstr>
      <vt:lpstr>เปลี่ยนผ่านลดระยะเวลา 3 ปี (ว4)</vt:lpstr>
      <vt:lpstr>คำนวณ ว21</vt:lpstr>
      <vt:lpstr>PA เต็มรูปแบบ 4 ปี</vt:lpstr>
      <vt:lpstr>PA เต็มรูปแบบลดเหลือ 3 ปี (ว4)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Sriechang</cp:lastModifiedBy>
  <cp:lastPrinted>2021-09-30T09:43:29Z</cp:lastPrinted>
  <dcterms:created xsi:type="dcterms:W3CDTF">2021-01-19T13:21:36Z</dcterms:created>
  <dcterms:modified xsi:type="dcterms:W3CDTF">2022-07-19T07:02:43Z</dcterms:modified>
</cp:coreProperties>
</file>